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xl/comments6.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D:\Backup Norela Briceño Bohorquez\Documents\Plan de Acción Integrado\Plan Acción 2019\"/>
    </mc:Choice>
  </mc:AlternateContent>
  <xr:revisionPtr revIDLastSave="0" documentId="13_ncr:1_{47A52944-2843-4A11-A363-44443C02AD38}" xr6:coauthVersionLast="44" xr6:coauthVersionMax="44" xr10:uidLastSave="{00000000-0000-0000-0000-000000000000}"/>
  <bookViews>
    <workbookView xWindow="-120" yWindow="-120" windowWidth="2073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state="hidden"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6" hidden="1">'Cuadro Mando Integral Detallado'!$B$14:$CN$367</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Misional'!$A$8:$HU$25</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17" i="29" l="1"/>
  <c r="BK19" i="29" l="1"/>
  <c r="BK18" i="29"/>
  <c r="BK17" i="29" l="1"/>
  <c r="BX175" i="3" l="1"/>
  <c r="G360" i="33" l="1"/>
  <c r="H360" i="33"/>
  <c r="J360" i="33"/>
  <c r="Q360" i="33"/>
  <c r="X360" i="33"/>
  <c r="AE360" i="33"/>
  <c r="BX132" i="3"/>
  <c r="BX17" i="3" l="1"/>
  <c r="CB30" i="3" l="1"/>
  <c r="BZ30" i="3"/>
  <c r="AP12" i="38" l="1"/>
  <c r="BO11" i="27" l="1"/>
  <c r="BM11" i="27"/>
  <c r="AM124" i="3"/>
  <c r="AX124" i="3" s="1"/>
  <c r="Z124" i="3"/>
  <c r="AV124" i="3"/>
  <c r="BP89" i="3"/>
  <c r="CB68" i="3"/>
  <c r="BX68" i="3"/>
  <c r="CB24" i="3"/>
  <c r="AH224" i="33" s="1"/>
  <c r="AI224" i="33" s="1"/>
  <c r="CB129" i="3"/>
  <c r="AH191" i="33" s="1"/>
  <c r="AI191" i="33" s="1"/>
  <c r="BN129" i="3"/>
  <c r="BD129" i="3"/>
  <c r="AE191" i="33"/>
  <c r="CB184" i="3"/>
  <c r="CA114" i="3"/>
  <c r="AE118" i="33" s="1"/>
  <c r="BZ114" i="3"/>
  <c r="BI9" i="3"/>
  <c r="CC9" i="3"/>
  <c r="BS9" i="3"/>
  <c r="AC9" i="3"/>
  <c r="BH124" i="3" l="1"/>
  <c r="BF174" i="3"/>
  <c r="CC74" i="3"/>
  <c r="BS74" i="3"/>
  <c r="BX182" i="3" l="1"/>
  <c r="BX128" i="3"/>
  <c r="AO114" i="3"/>
  <c r="AH270" i="33"/>
  <c r="AI270" i="33" s="1"/>
  <c r="BX173" i="3"/>
  <c r="BX172" i="3"/>
  <c r="BX129" i="3"/>
  <c r="BX127" i="3"/>
  <c r="BX126" i="3"/>
  <c r="BX125" i="3"/>
  <c r="BY122" i="3"/>
  <c r="BX122" i="3"/>
  <c r="BY114" i="3"/>
  <c r="BY80" i="3"/>
  <c r="AC9" i="35" l="1"/>
  <c r="BZ24" i="3"/>
  <c r="CB22" i="3" l="1"/>
  <c r="BZ22" i="3"/>
  <c r="BX22" i="3"/>
  <c r="BX41" i="3"/>
  <c r="BX40" i="3"/>
  <c r="BX39" i="3"/>
  <c r="BX38" i="3"/>
  <c r="BX34" i="3"/>
  <c r="BX33" i="3"/>
  <c r="BX32" i="3"/>
  <c r="BX31" i="3"/>
  <c r="BX30" i="3"/>
  <c r="BX29" i="3"/>
  <c r="BX27" i="3"/>
  <c r="BX26" i="3"/>
  <c r="BX25" i="3"/>
  <c r="BK11" i="29"/>
  <c r="BK15" i="29"/>
  <c r="BK14" i="29"/>
  <c r="BK13" i="29"/>
  <c r="BK13" i="27" l="1"/>
  <c r="BM13" i="27"/>
  <c r="BK11" i="27" l="1"/>
  <c r="BK20" i="27"/>
  <c r="BK19" i="27"/>
  <c r="BK18" i="27"/>
  <c r="BK17" i="27"/>
  <c r="BK14" i="27"/>
  <c r="BK12" i="27"/>
  <c r="BO34" i="27" l="1"/>
  <c r="BM34" i="27"/>
  <c r="G29" i="33" l="1"/>
  <c r="G28" i="33"/>
  <c r="BK31" i="27"/>
  <c r="BK30" i="27"/>
  <c r="BK29" i="27"/>
  <c r="BK28" i="27"/>
  <c r="BX163" i="3" l="1"/>
  <c r="AC134" i="3"/>
  <c r="BJ25" i="27"/>
  <c r="P25" i="27"/>
  <c r="AO135" i="3" l="1"/>
  <c r="BM135" i="3" s="1"/>
  <c r="BL25" i="27"/>
  <c r="BK25" i="27"/>
  <c r="BK24" i="27"/>
  <c r="BK22" i="27"/>
  <c r="BL21" i="27"/>
  <c r="CA181" i="3"/>
  <c r="CA180" i="3"/>
  <c r="BZ180" i="3"/>
  <c r="BX144" i="3"/>
  <c r="BY139" i="3"/>
  <c r="BY135" i="3"/>
  <c r="BX135" i="3"/>
  <c r="BX155" i="3" l="1"/>
  <c r="G60" i="33" l="1"/>
  <c r="BA22" i="27" l="1"/>
  <c r="AQ9" i="34" l="1"/>
  <c r="AQ7" i="34" l="1"/>
  <c r="AT15" i="29"/>
  <c r="AJ15" i="29"/>
  <c r="BN128" i="3"/>
  <c r="BP22" i="3"/>
  <c r="BR30" i="3"/>
  <c r="BP30" i="3"/>
  <c r="BN30" i="3"/>
  <c r="CB42" i="3"/>
  <c r="BR42" i="3"/>
  <c r="BH42" i="3"/>
  <c r="BR24" i="3"/>
  <c r="BP24" i="3"/>
  <c r="BH24" i="3"/>
  <c r="AU15" i="29"/>
  <c r="BN15" i="29"/>
  <c r="BE15" i="29"/>
  <c r="BD15" i="29"/>
  <c r="BN41" i="3" l="1"/>
  <c r="BN40" i="3"/>
  <c r="BN39" i="3"/>
  <c r="BN38" i="3"/>
  <c r="BN34" i="3"/>
  <c r="BN33" i="3"/>
  <c r="BN32" i="3"/>
  <c r="BN31" i="3"/>
  <c r="BN29" i="3"/>
  <c r="BN27" i="3"/>
  <c r="BN26" i="3"/>
  <c r="BN25" i="3"/>
  <c r="BA13" i="29"/>
  <c r="BN175" i="3" l="1"/>
  <c r="BN173" i="3"/>
  <c r="BN172" i="3"/>
  <c r="BN127" i="3"/>
  <c r="BN126" i="3"/>
  <c r="BN125" i="3"/>
  <c r="BN124" i="3"/>
  <c r="BO122" i="3"/>
  <c r="BN122" i="3"/>
  <c r="BO86" i="3"/>
  <c r="BO80" i="3"/>
  <c r="BN68" i="3"/>
  <c r="BO56" i="3"/>
  <c r="BN51" i="3"/>
  <c r="BA31" i="27" l="1"/>
  <c r="BA30" i="27"/>
  <c r="BA29" i="27" l="1"/>
  <c r="BR149" i="3" l="1"/>
  <c r="BC15" i="29"/>
  <c r="BN140" i="3" l="1"/>
  <c r="BA19" i="29" l="1"/>
  <c r="BA18" i="29"/>
  <c r="BA17" i="29"/>
  <c r="BO18" i="3"/>
  <c r="BO17" i="3"/>
  <c r="BN17" i="3"/>
  <c r="BA12" i="27" l="1"/>
  <c r="BA13" i="27"/>
  <c r="CA10" i="27" l="1"/>
  <c r="CA11" i="27"/>
  <c r="CA12" i="27"/>
  <c r="CA13" i="27"/>
  <c r="CA16" i="27"/>
  <c r="CA17" i="27"/>
  <c r="CA18" i="27"/>
  <c r="CA19" i="27"/>
  <c r="CA20" i="27"/>
  <c r="BA20" i="27" l="1"/>
  <c r="BA19" i="27"/>
  <c r="BA18" i="27"/>
  <c r="BA17" i="27"/>
  <c r="BA14" i="27"/>
  <c r="BA11" i="27"/>
  <c r="BO21" i="3" l="1"/>
  <c r="G126" i="33"/>
  <c r="G125" i="33"/>
  <c r="G124" i="33"/>
  <c r="BN19" i="3" l="1"/>
  <c r="BN163" i="3"/>
  <c r="BN179" i="3"/>
  <c r="BB25" i="27" l="1"/>
  <c r="BB21" i="27"/>
  <c r="BA25" i="27"/>
  <c r="BA24" i="27"/>
  <c r="AU21" i="27" l="1"/>
  <c r="AK21" i="27"/>
  <c r="AI21" i="27"/>
  <c r="AN192" i="3" l="1"/>
  <c r="AE157" i="33" l="1"/>
  <c r="X157" i="33"/>
  <c r="V157" i="33"/>
  <c r="Q157" i="33"/>
  <c r="J157" i="33"/>
  <c r="H157" i="33"/>
  <c r="G157" i="33"/>
  <c r="AE156" i="33"/>
  <c r="X156" i="33"/>
  <c r="V156" i="33"/>
  <c r="Q156" i="33"/>
  <c r="J156" i="33"/>
  <c r="H156" i="33"/>
  <c r="G156" i="33"/>
  <c r="AE155" i="33"/>
  <c r="X155" i="33"/>
  <c r="V155" i="33"/>
  <c r="Q155" i="33"/>
  <c r="J155" i="33"/>
  <c r="H155" i="33"/>
  <c r="G155" i="33"/>
  <c r="AE154" i="33"/>
  <c r="X154" i="33"/>
  <c r="Q154" i="33"/>
  <c r="J154" i="33"/>
  <c r="V154" i="33"/>
  <c r="H154" i="33"/>
  <c r="G154" i="33"/>
  <c r="BR23" i="29"/>
  <c r="K155" i="33" s="1"/>
  <c r="BS23" i="29"/>
  <c r="BX25" i="29"/>
  <c r="AF157" i="33" s="1"/>
  <c r="AG157" i="33" s="1"/>
  <c r="BV25" i="29"/>
  <c r="Y157" i="33" s="1"/>
  <c r="BT25" i="29"/>
  <c r="R157" i="33" s="1"/>
  <c r="BR25" i="29"/>
  <c r="K157" i="33" s="1"/>
  <c r="BP25" i="29"/>
  <c r="BO25" i="29"/>
  <c r="AH157" i="33" s="1"/>
  <c r="AI157" i="33" s="1"/>
  <c r="BM25" i="29"/>
  <c r="BJ25" i="29"/>
  <c r="BY25" i="29" s="1"/>
  <c r="BI25" i="29"/>
  <c r="BF25" i="29"/>
  <c r="BE25" i="29"/>
  <c r="BC25" i="29"/>
  <c r="AZ25" i="29"/>
  <c r="BW25" i="29" s="1"/>
  <c r="AY25" i="29"/>
  <c r="AV25" i="29"/>
  <c r="AU25" i="29"/>
  <c r="AS25" i="29"/>
  <c r="AP25" i="29"/>
  <c r="BU25" i="29" s="1"/>
  <c r="AO25" i="29"/>
  <c r="AE25" i="29"/>
  <c r="BX24" i="29"/>
  <c r="AF156" i="33" s="1"/>
  <c r="AG156" i="33" s="1"/>
  <c r="BV24" i="29"/>
  <c r="Y156" i="33" s="1"/>
  <c r="BT24" i="29"/>
  <c r="R156" i="33" s="1"/>
  <c r="BR24" i="29"/>
  <c r="K156" i="33" s="1"/>
  <c r="BO24" i="29"/>
  <c r="AH156" i="33" s="1"/>
  <c r="AI156" i="33" s="1"/>
  <c r="BM24" i="29"/>
  <c r="BE24" i="29"/>
  <c r="BC24" i="29"/>
  <c r="AU24" i="29"/>
  <c r="AS24" i="29"/>
  <c r="AK24" i="29"/>
  <c r="AI24" i="29"/>
  <c r="BX23" i="29"/>
  <c r="AF155" i="33" s="1"/>
  <c r="AG155" i="33" s="1"/>
  <c r="BV23" i="29"/>
  <c r="Y155" i="33" s="1"/>
  <c r="BT23" i="29"/>
  <c r="R155" i="33" s="1"/>
  <c r="BP23" i="29"/>
  <c r="BO23" i="29"/>
  <c r="AH155" i="33" s="1"/>
  <c r="AI155" i="33" s="1"/>
  <c r="BM23" i="29"/>
  <c r="BJ23" i="29"/>
  <c r="BN23" i="29" s="1"/>
  <c r="BI23" i="29"/>
  <c r="BF23" i="29"/>
  <c r="BE23" i="29"/>
  <c r="BC23" i="29"/>
  <c r="AZ23" i="29"/>
  <c r="BW23" i="29" s="1"/>
  <c r="AY23" i="29"/>
  <c r="AV23" i="29"/>
  <c r="AU23" i="29"/>
  <c r="AS23" i="29"/>
  <c r="AP23" i="29"/>
  <c r="AT23" i="29" s="1"/>
  <c r="AO23" i="29"/>
  <c r="AE23" i="29"/>
  <c r="BX22" i="29"/>
  <c r="AF154" i="33" s="1"/>
  <c r="AG154" i="33" s="1"/>
  <c r="BV22" i="29"/>
  <c r="Y154" i="33" s="1"/>
  <c r="BT22" i="29"/>
  <c r="R154" i="33" s="1"/>
  <c r="BR22" i="29"/>
  <c r="K154" i="33" s="1"/>
  <c r="BO22" i="29"/>
  <c r="AH154" i="33" s="1"/>
  <c r="AI154" i="33" s="1"/>
  <c r="BM22" i="29"/>
  <c r="BE22" i="29"/>
  <c r="BC22" i="29"/>
  <c r="AU22" i="29"/>
  <c r="AS22" i="29"/>
  <c r="AK22" i="29"/>
  <c r="AI22" i="29"/>
  <c r="AB24" i="29"/>
  <c r="BJ24" i="29" s="1"/>
  <c r="AB22" i="29"/>
  <c r="AP22" i="29" s="1"/>
  <c r="AT22" i="29" s="1"/>
  <c r="AA24" i="29"/>
  <c r="AY24" i="29" s="1"/>
  <c r="AA22" i="29"/>
  <c r="AY22" i="29" s="1"/>
  <c r="AL22" i="29" l="1"/>
  <c r="AT25" i="29"/>
  <c r="AZ22" i="29"/>
  <c r="BW22" i="29" s="1"/>
  <c r="AF22" i="29"/>
  <c r="AJ22" i="29" s="1"/>
  <c r="BJ22" i="29"/>
  <c r="BN22" i="29" s="1"/>
  <c r="BD23" i="29"/>
  <c r="BF22" i="29"/>
  <c r="AZ24" i="29"/>
  <c r="BW24" i="29" s="1"/>
  <c r="AV22" i="29"/>
  <c r="AE24" i="29"/>
  <c r="BY24" i="29"/>
  <c r="BN24" i="29"/>
  <c r="AO22" i="29"/>
  <c r="BP22" i="29"/>
  <c r="AL24" i="29"/>
  <c r="AO24" i="29"/>
  <c r="BP24" i="29"/>
  <c r="BD25" i="29"/>
  <c r="AP24" i="29"/>
  <c r="BU24" i="29" s="1"/>
  <c r="AE22" i="29"/>
  <c r="BI22" i="29"/>
  <c r="BY23" i="29"/>
  <c r="BF24" i="29"/>
  <c r="BI24" i="29"/>
  <c r="AF24" i="29"/>
  <c r="AJ24" i="29" s="1"/>
  <c r="AV24" i="29"/>
  <c r="BS25" i="29"/>
  <c r="BU22" i="29"/>
  <c r="BU23" i="29"/>
  <c r="BN25" i="29"/>
  <c r="X363" i="33"/>
  <c r="AT24" i="29" l="1"/>
  <c r="BS22" i="29"/>
  <c r="BD22" i="29"/>
  <c r="BS24" i="29"/>
  <c r="BY22" i="29"/>
  <c r="BD24" i="29"/>
  <c r="BY190" i="3"/>
  <c r="BO190" i="3"/>
  <c r="BE190" i="3"/>
  <c r="AU190" i="3"/>
  <c r="AC190" i="3"/>
  <c r="AW80" i="3"/>
  <c r="AC91" i="33"/>
  <c r="V91" i="33"/>
  <c r="AC90" i="33"/>
  <c r="V90" i="33"/>
  <c r="G91" i="33"/>
  <c r="G90" i="33"/>
  <c r="CM95" i="3"/>
  <c r="BF24" i="3" l="1"/>
  <c r="V224" i="33"/>
  <c r="AN69" i="3"/>
  <c r="BD41" i="3" l="1"/>
  <c r="AQ18" i="29" l="1"/>
  <c r="AQ17" i="29"/>
  <c r="AI30" i="27" l="1"/>
  <c r="CB13" i="3" l="1"/>
  <c r="CB12" i="3"/>
  <c r="BZ13" i="3"/>
  <c r="BZ12" i="3"/>
  <c r="BR13" i="3"/>
  <c r="BR12" i="3"/>
  <c r="BP13" i="3"/>
  <c r="BP12" i="3"/>
  <c r="C9" i="35" l="1"/>
  <c r="AT157" i="3"/>
  <c r="AV157" i="3" s="1"/>
  <c r="BF157" i="3"/>
  <c r="AK27" i="27"/>
  <c r="AI27" i="27"/>
  <c r="AC11" i="34" l="1"/>
  <c r="AC7" i="34"/>
  <c r="AC8" i="34"/>
  <c r="AC6" i="34"/>
  <c r="O6" i="34" l="1"/>
  <c r="AG320" i="33"/>
  <c r="AG319" i="33"/>
  <c r="AG318" i="33"/>
  <c r="AG317" i="33"/>
  <c r="AG316" i="33"/>
  <c r="Z320" i="33"/>
  <c r="Z319" i="33"/>
  <c r="Z318" i="33"/>
  <c r="Z317" i="33"/>
  <c r="Z316" i="33"/>
  <c r="M212" i="33"/>
  <c r="G286" i="33"/>
  <c r="AM62" i="3"/>
  <c r="AE227" i="33"/>
  <c r="X227" i="33"/>
  <c r="AE286" i="33"/>
  <c r="X286" i="33"/>
  <c r="J286" i="33"/>
  <c r="H286" i="33"/>
  <c r="AM175" i="3"/>
  <c r="AM174" i="3"/>
  <c r="BH174" i="3" s="1"/>
  <c r="T287" i="33" s="1"/>
  <c r="U287" i="33" s="1"/>
  <c r="V287" i="33" s="1"/>
  <c r="CK175" i="3"/>
  <c r="AF286" i="33" s="1"/>
  <c r="AG286" i="33" s="1"/>
  <c r="AP18" i="38" s="1"/>
  <c r="CI175" i="3"/>
  <c r="Y286" i="33" s="1"/>
  <c r="Z286" i="33" s="1"/>
  <c r="AC18" i="38" s="1"/>
  <c r="BZ175" i="3"/>
  <c r="BP175" i="3"/>
  <c r="BD175" i="3"/>
  <c r="Q286" i="33" s="1"/>
  <c r="AO175" i="3"/>
  <c r="CC175" i="3" s="1"/>
  <c r="AN175" i="3"/>
  <c r="AR175" i="3" s="1"/>
  <c r="X355" i="33"/>
  <c r="AE355" i="33"/>
  <c r="Q355" i="33"/>
  <c r="J355" i="33"/>
  <c r="H355" i="33"/>
  <c r="G355" i="33"/>
  <c r="G65" i="33"/>
  <c r="BZ37" i="3"/>
  <c r="BP37" i="3"/>
  <c r="BF37" i="3"/>
  <c r="AM38" i="3"/>
  <c r="AM37" i="3"/>
  <c r="BH37" i="3" s="1"/>
  <c r="T232" i="33" s="1"/>
  <c r="U232" i="33" s="1"/>
  <c r="V232" i="33" s="1"/>
  <c r="AE232" i="33"/>
  <c r="X232" i="33"/>
  <c r="Q232" i="33"/>
  <c r="H232" i="33"/>
  <c r="G232" i="33"/>
  <c r="CK37" i="3"/>
  <c r="CI37" i="3"/>
  <c r="CG37" i="3"/>
  <c r="G56" i="33"/>
  <c r="AT37" i="3"/>
  <c r="CE37" i="3" s="1"/>
  <c r="K232" i="33" s="1"/>
  <c r="L232" i="33" s="1"/>
  <c r="AO37" i="3"/>
  <c r="AS37" i="3" s="1"/>
  <c r="CM37" i="3" s="1"/>
  <c r="AN37" i="3"/>
  <c r="BV37" i="3" s="1"/>
  <c r="BO12" i="27"/>
  <c r="BO13" i="27"/>
  <c r="BE13" i="27"/>
  <c r="BE12" i="27"/>
  <c r="AU13" i="27"/>
  <c r="AU12" i="27"/>
  <c r="AU11" i="27"/>
  <c r="BR11" i="27"/>
  <c r="BE11" i="27"/>
  <c r="AS11" i="27"/>
  <c r="R136" i="33" s="1"/>
  <c r="AK11" i="27"/>
  <c r="J135" i="33"/>
  <c r="AE136" i="33"/>
  <c r="X136" i="33"/>
  <c r="Q136" i="33"/>
  <c r="J136" i="33"/>
  <c r="AE135" i="33"/>
  <c r="X135" i="33"/>
  <c r="Q135" i="33"/>
  <c r="H136" i="33"/>
  <c r="H135" i="33"/>
  <c r="BX10" i="27"/>
  <c r="BV10" i="27"/>
  <c r="BT10" i="27"/>
  <c r="BR10" i="27"/>
  <c r="BO10" i="27"/>
  <c r="BM10" i="27"/>
  <c r="BE10" i="27"/>
  <c r="BC10" i="27"/>
  <c r="AU10" i="27"/>
  <c r="AS10" i="27"/>
  <c r="AI10" i="27"/>
  <c r="K135" i="33" s="1"/>
  <c r="L135" i="33" s="1"/>
  <c r="AK10" i="27"/>
  <c r="M135" i="33" s="1"/>
  <c r="N135" i="33" s="1"/>
  <c r="O135" i="33" s="1"/>
  <c r="J232" i="33" l="1"/>
  <c r="CB175" i="3"/>
  <c r="AH286" i="33" s="1"/>
  <c r="AI286" i="33" s="1"/>
  <c r="S136" i="33"/>
  <c r="AX37" i="3"/>
  <c r="M232" i="33" s="1"/>
  <c r="N232" i="33" s="1"/>
  <c r="O232" i="33" s="1"/>
  <c r="CL37" i="3"/>
  <c r="CC37" i="3"/>
  <c r="AH56" i="33" s="1"/>
  <c r="AI56" i="33" s="1"/>
  <c r="AR37" i="3"/>
  <c r="BF175" i="3"/>
  <c r="AY37" i="3"/>
  <c r="M56" i="33" s="1"/>
  <c r="N56" i="33" s="1"/>
  <c r="O56" i="33" s="1"/>
  <c r="BI37" i="3"/>
  <c r="T56" i="33" s="1"/>
  <c r="U56" i="33" s="1"/>
  <c r="V56" i="33" s="1"/>
  <c r="CB37" i="3"/>
  <c r="AH232" i="33" s="1"/>
  <c r="AI232" i="33" s="1"/>
  <c r="BL37" i="3"/>
  <c r="CG175" i="3"/>
  <c r="R286" i="33" s="1"/>
  <c r="S286" i="33" s="1"/>
  <c r="P18" i="38" s="1"/>
  <c r="CH37" i="3"/>
  <c r="BG37" i="3"/>
  <c r="Q56" i="33" s="1"/>
  <c r="AS175" i="3"/>
  <c r="BI175" i="3"/>
  <c r="BS175" i="3"/>
  <c r="AY175" i="3"/>
  <c r="BV175" i="3"/>
  <c r="BB37" i="3"/>
  <c r="BS37" i="3"/>
  <c r="AA56" i="33" s="1"/>
  <c r="AB56" i="33" s="1"/>
  <c r="AC56" i="33" s="1"/>
  <c r="BC175" i="3"/>
  <c r="BW175" i="3"/>
  <c r="CL175" i="3" s="1"/>
  <c r="CA37" i="3"/>
  <c r="AE56" i="33" s="1"/>
  <c r="BR37" i="3"/>
  <c r="AA232" i="33" s="1"/>
  <c r="AB232" i="33" s="1"/>
  <c r="AC232" i="33" s="1"/>
  <c r="AX175" i="3"/>
  <c r="BR175" i="3"/>
  <c r="AA286" i="33" s="1"/>
  <c r="AB286" i="33" s="1"/>
  <c r="AC286" i="33" s="1"/>
  <c r="AV175" i="3"/>
  <c r="BH175" i="3"/>
  <c r="T286" i="33" s="1"/>
  <c r="U286" i="33" s="1"/>
  <c r="V286" i="33" s="1"/>
  <c r="BL175" i="3"/>
  <c r="BB175" i="3"/>
  <c r="BM175" i="3"/>
  <c r="CE175" i="3"/>
  <c r="AV37" i="3"/>
  <c r="CH175" i="3" l="1"/>
  <c r="BG175" i="3"/>
  <c r="CJ37" i="3"/>
  <c r="BQ37" i="3"/>
  <c r="X56" i="33" s="1"/>
  <c r="CF175" i="3"/>
  <c r="AW175" i="3"/>
  <c r="CF37" i="3"/>
  <c r="K56" i="33" s="1"/>
  <c r="L56" i="33" s="1"/>
  <c r="AW37" i="3"/>
  <c r="J56" i="33" s="1"/>
  <c r="CA175" i="3"/>
  <c r="BQ175" i="3"/>
  <c r="CJ175" i="3"/>
  <c r="BX11" i="27" l="1"/>
  <c r="BV11" i="27"/>
  <c r="BT11" i="27"/>
  <c r="AH136" i="33"/>
  <c r="AA136" i="33"/>
  <c r="AB136" i="33" s="1"/>
  <c r="AC136" i="33" s="1"/>
  <c r="BC11" i="27"/>
  <c r="Y136" i="33" s="1"/>
  <c r="Z136" i="33" s="1"/>
  <c r="BC9" i="27"/>
  <c r="T136" i="33"/>
  <c r="U136" i="33" s="1"/>
  <c r="V136" i="33" s="1"/>
  <c r="AQ11" i="27"/>
  <c r="AI11" i="27"/>
  <c r="AG9" i="27"/>
  <c r="AU9" i="27" s="1"/>
  <c r="BG19" i="3"/>
  <c r="Q124" i="33" s="1"/>
  <c r="AI136" i="33" l="1"/>
  <c r="AK9" i="27"/>
  <c r="BD29" i="3"/>
  <c r="BH13" i="3"/>
  <c r="BH12" i="3"/>
  <c r="BF13" i="3"/>
  <c r="BF12" i="3"/>
  <c r="BD40" i="3" l="1"/>
  <c r="BD39" i="3"/>
  <c r="BD38" i="3"/>
  <c r="BD34" i="3"/>
  <c r="BD33" i="3"/>
  <c r="BD32" i="3"/>
  <c r="BD31" i="3"/>
  <c r="BD30" i="3"/>
  <c r="BD27" i="3"/>
  <c r="BD26" i="3"/>
  <c r="BD25" i="3"/>
  <c r="BD23" i="3"/>
  <c r="BF30" i="3" l="1"/>
  <c r="CB38" i="3"/>
  <c r="BR38" i="3"/>
  <c r="BH38" i="3"/>
  <c r="AQ13" i="29"/>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303" i="33" l="1"/>
  <c r="X303" i="33"/>
  <c r="Q303" i="33"/>
  <c r="J303" i="33"/>
  <c r="H303" i="33"/>
  <c r="CK156" i="3"/>
  <c r="AF303" i="33" s="1"/>
  <c r="AG303" i="33" s="1"/>
  <c r="CI156" i="3"/>
  <c r="Y303" i="33" s="1"/>
  <c r="CG156" i="3"/>
  <c r="R303" i="33" s="1"/>
  <c r="CE156" i="3"/>
  <c r="K303" i="33" s="1"/>
  <c r="CB156" i="3"/>
  <c r="AH303" i="33" s="1"/>
  <c r="AI303" i="33" s="1"/>
  <c r="BZ156" i="3"/>
  <c r="BR156" i="3"/>
  <c r="AA303" i="33" s="1"/>
  <c r="AB303" i="33" s="1"/>
  <c r="BP156" i="3"/>
  <c r="BH156" i="3"/>
  <c r="T303" i="33" s="1"/>
  <c r="U303" i="33" s="1"/>
  <c r="BF156" i="3"/>
  <c r="AX156" i="3"/>
  <c r="M303" i="33" s="1"/>
  <c r="N303" i="33" s="1"/>
  <c r="AV156" i="3"/>
  <c r="G349" i="33" l="1"/>
  <c r="H351" i="33"/>
  <c r="G350" i="33"/>
  <c r="G351" i="33"/>
  <c r="AC351" i="33"/>
  <c r="V351" i="33"/>
  <c r="J351" i="33"/>
  <c r="G116" i="33"/>
  <c r="G115" i="33"/>
  <c r="G117" i="33"/>
  <c r="AO94" i="3"/>
  <c r="AC121" i="33"/>
  <c r="V121" i="33"/>
  <c r="AC120" i="33"/>
  <c r="V120" i="33"/>
  <c r="AC354" i="33"/>
  <c r="V354" i="33"/>
  <c r="AC353" i="33"/>
  <c r="V353" i="33"/>
  <c r="G320" i="33"/>
  <c r="G319" i="33"/>
  <c r="G318" i="33"/>
  <c r="AC89" i="33"/>
  <c r="V89" i="33"/>
  <c r="AO80" i="3"/>
  <c r="AN80" i="3"/>
  <c r="AN86" i="3"/>
  <c r="BL86" i="3" s="1"/>
  <c r="CL188" i="3"/>
  <c r="CK188" i="3"/>
  <c r="AF355" i="33" s="1"/>
  <c r="AG355" i="33" s="1"/>
  <c r="CJ188" i="3"/>
  <c r="CI188" i="3"/>
  <c r="Y355" i="33" s="1"/>
  <c r="Z355" i="33" s="1"/>
  <c r="CH188" i="3"/>
  <c r="CG188" i="3"/>
  <c r="R355" i="33" s="1"/>
  <c r="CF188" i="3"/>
  <c r="CE188" i="3"/>
  <c r="K355" i="33" s="1"/>
  <c r="CB188" i="3"/>
  <c r="AH355" i="33" s="1"/>
  <c r="AI355" i="33" s="1"/>
  <c r="BZ188" i="3"/>
  <c r="BR188" i="3"/>
  <c r="AA355" i="33" s="1"/>
  <c r="AB355" i="33" s="1"/>
  <c r="AC355" i="33" s="1"/>
  <c r="BQ188" i="3"/>
  <c r="BP188" i="3"/>
  <c r="BH188" i="3"/>
  <c r="T355" i="33" s="1"/>
  <c r="U355" i="33" s="1"/>
  <c r="BG188" i="3"/>
  <c r="BF188" i="3"/>
  <c r="AX188" i="3"/>
  <c r="M355" i="33" s="1"/>
  <c r="N355" i="33" s="1"/>
  <c r="AW188" i="3"/>
  <c r="AV188" i="3"/>
  <c r="AO188" i="3"/>
  <c r="BS188" i="3" s="1"/>
  <c r="AN188" i="3"/>
  <c r="BV188" i="3" s="1"/>
  <c r="BW80" i="3" l="1"/>
  <c r="BC80" i="3"/>
  <c r="BW94" i="3"/>
  <c r="BC94" i="3"/>
  <c r="BM94" i="3"/>
  <c r="BM80" i="3"/>
  <c r="AR188" i="3"/>
  <c r="AR86" i="3"/>
  <c r="BI188" i="3"/>
  <c r="BV86" i="3"/>
  <c r="BB188" i="3"/>
  <c r="BL188" i="3"/>
  <c r="AY188" i="3"/>
  <c r="BB86" i="3"/>
  <c r="CM188" i="3" l="1"/>
  <c r="AC269" i="33"/>
  <c r="V269" i="33"/>
  <c r="BH28" i="3"/>
  <c r="T227" i="33" s="1"/>
  <c r="U227" i="33" s="1"/>
  <c r="V227" i="33" s="1"/>
  <c r="BF28" i="3"/>
  <c r="G31" i="33"/>
  <c r="AE160" i="33"/>
  <c r="X160" i="33"/>
  <c r="Q160" i="33"/>
  <c r="J160" i="33"/>
  <c r="H160" i="33"/>
  <c r="G160" i="33"/>
  <c r="BX21" i="29"/>
  <c r="AF160" i="33" s="1"/>
  <c r="AG160" i="33" s="1"/>
  <c r="BV21" i="29"/>
  <c r="Y160" i="33" s="1"/>
  <c r="BT21" i="29"/>
  <c r="R160" i="33" s="1"/>
  <c r="BR21" i="29"/>
  <c r="K160" i="33" s="1"/>
  <c r="BO21" i="29"/>
  <c r="AH160" i="33" s="1"/>
  <c r="AI160" i="33" s="1"/>
  <c r="BM21" i="29"/>
  <c r="BE21" i="29"/>
  <c r="AA160" i="33" s="1"/>
  <c r="AB160" i="33" s="1"/>
  <c r="BC21" i="29"/>
  <c r="AU21" i="29"/>
  <c r="T160" i="33" s="1"/>
  <c r="U160" i="33" s="1"/>
  <c r="AS21" i="29"/>
  <c r="AK21" i="29"/>
  <c r="M160" i="33" s="1"/>
  <c r="N160" i="33" s="1"/>
  <c r="AI21" i="29"/>
  <c r="AB21" i="29"/>
  <c r="BP21" i="29" s="1"/>
  <c r="AH31" i="33" s="1"/>
  <c r="AI31" i="33" s="1"/>
  <c r="AA21" i="29"/>
  <c r="AE21" i="29" s="1"/>
  <c r="AP21" i="29" l="1"/>
  <c r="AT21" i="29" s="1"/>
  <c r="Q31" i="33" s="1"/>
  <c r="AO21" i="29"/>
  <c r="BF21" i="29"/>
  <c r="AA31" i="33" s="1"/>
  <c r="AB31" i="33" s="1"/>
  <c r="AC31" i="33" s="1"/>
  <c r="BI21" i="29"/>
  <c r="AF21" i="29"/>
  <c r="AJ21" i="29" s="1"/>
  <c r="J31" i="33" s="1"/>
  <c r="BJ21" i="29"/>
  <c r="BY21" i="29" s="1"/>
  <c r="AF31" i="33" s="1"/>
  <c r="AY21" i="29"/>
  <c r="AZ21" i="29"/>
  <c r="AV21" i="29"/>
  <c r="T31" i="33" s="1"/>
  <c r="U31" i="33" s="1"/>
  <c r="V31" i="33" s="1"/>
  <c r="AL21" i="29"/>
  <c r="M31" i="33" s="1"/>
  <c r="N31" i="33" s="1"/>
  <c r="O31" i="33" s="1"/>
  <c r="AE207" i="33"/>
  <c r="X207" i="33"/>
  <c r="Q207" i="33"/>
  <c r="J207" i="33"/>
  <c r="H207" i="33"/>
  <c r="G207" i="33"/>
  <c r="CK187" i="3"/>
  <c r="CI187" i="3"/>
  <c r="Y207" i="33" s="1"/>
  <c r="CG187" i="3"/>
  <c r="R207" i="33" s="1"/>
  <c r="CE187" i="3"/>
  <c r="K207" i="33" s="1"/>
  <c r="CB187" i="3"/>
  <c r="AH207" i="33" s="1"/>
  <c r="BZ187" i="3"/>
  <c r="BR187" i="3"/>
  <c r="AA207" i="33" s="1"/>
  <c r="AB207" i="33" s="1"/>
  <c r="BP187" i="3"/>
  <c r="BH187" i="3"/>
  <c r="T207" i="33" s="1"/>
  <c r="U207" i="33" s="1"/>
  <c r="BF187" i="3"/>
  <c r="AX187" i="3"/>
  <c r="M207" i="33" s="1"/>
  <c r="N207" i="33" s="1"/>
  <c r="AV187" i="3"/>
  <c r="AO187" i="3"/>
  <c r="BM187" i="3" s="1"/>
  <c r="AN187" i="3"/>
  <c r="BV187" i="3" s="1"/>
  <c r="AE138" i="33"/>
  <c r="X138" i="33"/>
  <c r="Q138" i="33"/>
  <c r="J138" i="33"/>
  <c r="H138" i="33"/>
  <c r="BX13" i="27"/>
  <c r="BV13" i="27"/>
  <c r="BT13" i="27"/>
  <c r="R138" i="33" s="1"/>
  <c r="S138" i="33" s="1"/>
  <c r="BR13" i="27"/>
  <c r="AF138" i="33"/>
  <c r="AG138" i="33" s="1"/>
  <c r="AA138" i="33"/>
  <c r="AB138" i="33" s="1"/>
  <c r="AC138" i="33" s="1"/>
  <c r="BC13" i="27"/>
  <c r="Y138" i="33" s="1"/>
  <c r="Z138" i="33" s="1"/>
  <c r="AS13" i="27"/>
  <c r="AH138" i="33"/>
  <c r="AI138" i="33" s="1"/>
  <c r="AA13" i="27"/>
  <c r="BI13" i="27" s="1"/>
  <c r="AE243" i="33"/>
  <c r="X243" i="33"/>
  <c r="Q243" i="33"/>
  <c r="J243" i="33"/>
  <c r="H243" i="33"/>
  <c r="G243" i="33"/>
  <c r="AE242" i="33"/>
  <c r="X242" i="33"/>
  <c r="Q242" i="33"/>
  <c r="J242" i="33"/>
  <c r="H242" i="33"/>
  <c r="G242" i="33"/>
  <c r="CK186" i="3"/>
  <c r="AF243" i="33" s="1"/>
  <c r="CI186" i="3"/>
  <c r="Y243" i="33" s="1"/>
  <c r="Z243" i="33" s="1"/>
  <c r="CG186" i="3"/>
  <c r="R243" i="33" s="1"/>
  <c r="CE186" i="3"/>
  <c r="K243" i="33" s="1"/>
  <c r="CB186" i="3"/>
  <c r="AH243" i="33" s="1"/>
  <c r="AI243" i="33" s="1"/>
  <c r="BZ186" i="3"/>
  <c r="BR186" i="3"/>
  <c r="AA243" i="33" s="1"/>
  <c r="AB243" i="33" s="1"/>
  <c r="AC243" i="33" s="1"/>
  <c r="BP186" i="3"/>
  <c r="BH186" i="3"/>
  <c r="T243" i="33" s="1"/>
  <c r="U243" i="33" s="1"/>
  <c r="BF186" i="3"/>
  <c r="AX186" i="3"/>
  <c r="AV186" i="3"/>
  <c r="AO186" i="3"/>
  <c r="BC186" i="3" s="1"/>
  <c r="AN186" i="3"/>
  <c r="BL186" i="3" s="1"/>
  <c r="AE173" i="33"/>
  <c r="X173" i="33"/>
  <c r="Q173" i="33"/>
  <c r="J173" i="33"/>
  <c r="H173" i="33"/>
  <c r="G173" i="33"/>
  <c r="CK184" i="3"/>
  <c r="AF173" i="33" s="1"/>
  <c r="AG173" i="33" s="1"/>
  <c r="CI184" i="3"/>
  <c r="Y173" i="33" s="1"/>
  <c r="Z173" i="33" s="1"/>
  <c r="CG184" i="3"/>
  <c r="R173" i="33" s="1"/>
  <c r="S173" i="33" s="1"/>
  <c r="CE184" i="3"/>
  <c r="K173" i="33" s="1"/>
  <c r="CC184" i="3"/>
  <c r="AH173" i="33"/>
  <c r="AI173" i="33" s="1"/>
  <c r="BZ184" i="3"/>
  <c r="BW184" i="3"/>
  <c r="CL184" i="3" s="1"/>
  <c r="BV184" i="3"/>
  <c r="BS184" i="3"/>
  <c r="BR184" i="3"/>
  <c r="AA173" i="33" s="1"/>
  <c r="AB173" i="33" s="1"/>
  <c r="AC173" i="33" s="1"/>
  <c r="BP184" i="3"/>
  <c r="BM184" i="3"/>
  <c r="BQ184" i="3" s="1"/>
  <c r="BL184" i="3"/>
  <c r="BI184" i="3"/>
  <c r="BH184" i="3"/>
  <c r="T173" i="33" s="1"/>
  <c r="U173" i="33" s="1"/>
  <c r="V173" i="33" s="1"/>
  <c r="BF184" i="3"/>
  <c r="BC184" i="3"/>
  <c r="BG184" i="3" s="1"/>
  <c r="BB184" i="3"/>
  <c r="AY184" i="3"/>
  <c r="AX184" i="3"/>
  <c r="M173" i="33" s="1"/>
  <c r="N173" i="33" s="1"/>
  <c r="AV184" i="3"/>
  <c r="AS184" i="3"/>
  <c r="AR184" i="3"/>
  <c r="CK185" i="3"/>
  <c r="AF242" i="33" s="1"/>
  <c r="AG242" i="33" s="1"/>
  <c r="CI185" i="3"/>
  <c r="Y242" i="33" s="1"/>
  <c r="CG185" i="3"/>
  <c r="R242" i="33" s="1"/>
  <c r="CE185" i="3"/>
  <c r="K242" i="33" s="1"/>
  <c r="CB185" i="3"/>
  <c r="AH242" i="33" s="1"/>
  <c r="AI242" i="33" s="1"/>
  <c r="BZ185" i="3"/>
  <c r="BR185" i="3"/>
  <c r="AA242" i="33" s="1"/>
  <c r="AB242" i="33" s="1"/>
  <c r="BP185" i="3"/>
  <c r="BH185" i="3"/>
  <c r="T242" i="33" s="1"/>
  <c r="U242" i="33" s="1"/>
  <c r="BF185" i="3"/>
  <c r="AX185" i="3"/>
  <c r="AV185" i="3"/>
  <c r="AO185" i="3"/>
  <c r="BM185" i="3" s="1"/>
  <c r="AN185" i="3"/>
  <c r="BV185" i="3" s="1"/>
  <c r="AE172" i="33"/>
  <c r="X172" i="33"/>
  <c r="Q172" i="33"/>
  <c r="AV183" i="3"/>
  <c r="J172" i="33"/>
  <c r="H172" i="33"/>
  <c r="G172" i="33"/>
  <c r="AE180" i="33"/>
  <c r="X180" i="33"/>
  <c r="Q180" i="33"/>
  <c r="J180" i="33"/>
  <c r="H180" i="33"/>
  <c r="CK183" i="3"/>
  <c r="AF172" i="33" s="1"/>
  <c r="AG172" i="33" s="1"/>
  <c r="CI183" i="3"/>
  <c r="Y172" i="33" s="1"/>
  <c r="CG183" i="3"/>
  <c r="R172" i="33" s="1"/>
  <c r="CE183" i="3"/>
  <c r="K172" i="33" s="1"/>
  <c r="CB183" i="3"/>
  <c r="AH172" i="33" s="1"/>
  <c r="AI172" i="33" s="1"/>
  <c r="BZ183" i="3"/>
  <c r="BR183" i="3"/>
  <c r="AA172" i="33" s="1"/>
  <c r="AB172" i="33" s="1"/>
  <c r="BP183" i="3"/>
  <c r="BH183" i="3"/>
  <c r="T172" i="33" s="1"/>
  <c r="U172" i="33" s="1"/>
  <c r="BF183" i="3"/>
  <c r="AX183" i="3"/>
  <c r="M172" i="33" s="1"/>
  <c r="N172" i="33" s="1"/>
  <c r="AO183" i="3"/>
  <c r="BC183" i="3" s="1"/>
  <c r="CH183" i="3" s="1"/>
  <c r="AN183" i="3"/>
  <c r="BV183" i="3" s="1"/>
  <c r="AG31" i="33" l="1"/>
  <c r="BU21" i="29"/>
  <c r="R31" i="33" s="1"/>
  <c r="BN21" i="29"/>
  <c r="AE31" i="33" s="1"/>
  <c r="BW21" i="29"/>
  <c r="Y31" i="33" s="1"/>
  <c r="BD21" i="29"/>
  <c r="X31" i="33" s="1"/>
  <c r="BS21" i="29"/>
  <c r="K31" i="33" s="1"/>
  <c r="L31"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8" i="33"/>
  <c r="U138" i="33" s="1"/>
  <c r="V138" i="33" s="1"/>
  <c r="AK13" i="27"/>
  <c r="CF184" i="3"/>
  <c r="AW184" i="3"/>
  <c r="CH184" i="3"/>
  <c r="CJ184" i="3"/>
  <c r="BG183" i="3"/>
  <c r="CK169" i="3"/>
  <c r="AF180" i="33" s="1"/>
  <c r="CI169" i="3"/>
  <c r="Y180" i="33" s="1"/>
  <c r="Z180" i="33" s="1"/>
  <c r="CG169" i="3"/>
  <c r="R180" i="33" s="1"/>
  <c r="K180" i="33"/>
  <c r="CB169" i="3"/>
  <c r="AH180" i="33" s="1"/>
  <c r="AI180" i="33" s="1"/>
  <c r="BZ169" i="3"/>
  <c r="BR169" i="3"/>
  <c r="AA180" i="33" s="1"/>
  <c r="AB180" i="33" s="1"/>
  <c r="AC180" i="33" s="1"/>
  <c r="BP169" i="3"/>
  <c r="BH169" i="3"/>
  <c r="T180" i="33" s="1"/>
  <c r="U180" i="33" s="1"/>
  <c r="BF169" i="3"/>
  <c r="AX169" i="3"/>
  <c r="M180" i="33" s="1"/>
  <c r="N180" i="33" s="1"/>
  <c r="AV169" i="3"/>
  <c r="AO169" i="3"/>
  <c r="BW169" i="3" s="1"/>
  <c r="CL169" i="3" s="1"/>
  <c r="AN169" i="3"/>
  <c r="AR169" i="3" s="1"/>
  <c r="AE178" i="33"/>
  <c r="X178" i="33"/>
  <c r="Q178" i="33"/>
  <c r="J178" i="33"/>
  <c r="H178" i="33"/>
  <c r="CL167" i="3"/>
  <c r="AF65" i="33" s="1"/>
  <c r="CK167" i="3"/>
  <c r="AF178" i="33" s="1"/>
  <c r="CI167" i="3"/>
  <c r="Y178" i="33" s="1"/>
  <c r="Z178" i="33" s="1"/>
  <c r="CG167" i="3"/>
  <c r="R178" i="33" s="1"/>
  <c r="CE167" i="3"/>
  <c r="K178" i="33" s="1"/>
  <c r="CB167" i="3"/>
  <c r="AH178" i="33" s="1"/>
  <c r="AI178" i="33" s="1"/>
  <c r="CA167" i="3"/>
  <c r="AE65" i="33" s="1"/>
  <c r="BZ167" i="3"/>
  <c r="BR167" i="3"/>
  <c r="AA178" i="33" s="1"/>
  <c r="AB178" i="33" s="1"/>
  <c r="AC178" i="33" s="1"/>
  <c r="BP167" i="3"/>
  <c r="BH167" i="3"/>
  <c r="T178" i="33" s="1"/>
  <c r="U178" i="33" s="1"/>
  <c r="BF167" i="3"/>
  <c r="AX167" i="3"/>
  <c r="M178" i="33" s="1"/>
  <c r="N178" i="33" s="1"/>
  <c r="AV167" i="3"/>
  <c r="AW167" i="3"/>
  <c r="J65" i="33" s="1"/>
  <c r="AO167" i="3"/>
  <c r="BM167" i="3" s="1"/>
  <c r="CM167" i="3" s="1"/>
  <c r="AN167" i="3"/>
  <c r="BL167" i="3" s="1"/>
  <c r="Z31" i="33" l="1"/>
  <c r="S31" i="33"/>
  <c r="CF186" i="3"/>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5" i="33" s="1"/>
  <c r="AI65" i="33" s="1"/>
  <c r="AS169" i="3"/>
  <c r="AW169" i="3" s="1"/>
  <c r="BI167" i="3"/>
  <c r="T65" i="33" s="1"/>
  <c r="U65" i="33" s="1"/>
  <c r="BC169" i="3"/>
  <c r="CH169" i="3" s="1"/>
  <c r="BV167" i="3"/>
  <c r="BV169" i="3"/>
  <c r="BL169" i="3"/>
  <c r="AY169" i="3"/>
  <c r="BM169" i="3"/>
  <c r="AY167" i="3"/>
  <c r="BS167" i="3"/>
  <c r="AA65" i="33" s="1"/>
  <c r="AB65" i="33" s="1"/>
  <c r="AC65" i="33" s="1"/>
  <c r="BB169" i="3"/>
  <c r="CC169" i="3"/>
  <c r="BS169" i="3"/>
  <c r="CA169" i="3"/>
  <c r="BQ167" i="3"/>
  <c r="X65" i="33" s="1"/>
  <c r="CJ167" i="3"/>
  <c r="Y65" i="33" s="1"/>
  <c r="Z65" i="33" s="1"/>
  <c r="BG167" i="3"/>
  <c r="Q65" i="33" s="1"/>
  <c r="CF167" i="3"/>
  <c r="K65" i="33" s="1"/>
  <c r="CH167" i="3"/>
  <c r="R65" i="33" s="1"/>
  <c r="O11" i="34"/>
  <c r="BG169" i="3" l="1"/>
  <c r="CF169" i="3"/>
  <c r="CJ169" i="3"/>
  <c r="BQ169" i="3"/>
  <c r="AI17" i="29"/>
  <c r="G204" i="33" l="1"/>
  <c r="G203" i="33"/>
  <c r="G202" i="33"/>
  <c r="G201" i="33"/>
  <c r="G200" i="33"/>
  <c r="G199" i="33"/>
  <c r="G198" i="33"/>
  <c r="G197" i="33"/>
  <c r="G196" i="33"/>
  <c r="G194" i="33"/>
  <c r="G193" i="33"/>
  <c r="G192" i="33"/>
  <c r="G191" i="33"/>
  <c r="G190" i="33"/>
  <c r="G189" i="33"/>
  <c r="G188" i="33"/>
  <c r="G187" i="33"/>
  <c r="G186" i="33"/>
  <c r="G195" i="33"/>
  <c r="G185" i="33"/>
  <c r="G183" i="33"/>
  <c r="G184" i="33"/>
  <c r="J40" i="33" l="1"/>
  <c r="J39" i="33"/>
  <c r="J38" i="33"/>
  <c r="G158" i="33" l="1"/>
  <c r="H186" i="33" l="1"/>
  <c r="AE186" i="33"/>
  <c r="X186" i="33"/>
  <c r="Q186" i="33"/>
  <c r="J186" i="33"/>
  <c r="AE195" i="33"/>
  <c r="X195" i="33"/>
  <c r="Q195" i="33"/>
  <c r="J195" i="33"/>
  <c r="H195" i="33"/>
  <c r="AE285" i="33"/>
  <c r="X285" i="33"/>
  <c r="Q285" i="33"/>
  <c r="J285" i="33"/>
  <c r="H285" i="33"/>
  <c r="G285" i="33"/>
  <c r="AT155" i="3" l="1"/>
  <c r="CK30" i="3" l="1"/>
  <c r="CI30" i="3"/>
  <c r="CG30" i="3"/>
  <c r="AX28" i="3"/>
  <c r="M227" i="33" s="1"/>
  <c r="N227" i="33" s="1"/>
  <c r="O227" i="33" s="1"/>
  <c r="AV28" i="3"/>
  <c r="AT26" i="3"/>
  <c r="AT41" i="3"/>
  <c r="AT40" i="3"/>
  <c r="AT39" i="3"/>
  <c r="AT35" i="3"/>
  <c r="AT34" i="3"/>
  <c r="AT33" i="3"/>
  <c r="AT32" i="3"/>
  <c r="AT31" i="3"/>
  <c r="AT30" i="3"/>
  <c r="AT29" i="3"/>
  <c r="AT27" i="3"/>
  <c r="AT23" i="3"/>
  <c r="CE30" i="3" l="1"/>
  <c r="BH30" i="3"/>
  <c r="AV30" i="3"/>
  <c r="AX30" i="3"/>
  <c r="AU56" i="3"/>
  <c r="AT137" i="3" l="1"/>
  <c r="AU134" i="3"/>
  <c r="AT134" i="3"/>
  <c r="G305" i="33" l="1"/>
  <c r="AE197" i="33"/>
  <c r="X197" i="33"/>
  <c r="Q197" i="33"/>
  <c r="J197" i="33"/>
  <c r="H197" i="33"/>
  <c r="AE290" i="33"/>
  <c r="X290" i="33"/>
  <c r="Q290" i="33"/>
  <c r="J290" i="33"/>
  <c r="H290" i="33"/>
  <c r="G290" i="33"/>
  <c r="AX154" i="3"/>
  <c r="AV154" i="3"/>
  <c r="AV153" i="3"/>
  <c r="AV50" i="3"/>
  <c r="AX46" i="3"/>
  <c r="AT17" i="3"/>
  <c r="CE17" i="3" s="1"/>
  <c r="AX13" i="3"/>
  <c r="AX12" i="3"/>
  <c r="AV13" i="3"/>
  <c r="AV12" i="3"/>
  <c r="AG11" i="29"/>
  <c r="AI11" i="29" s="1"/>
  <c r="G9" i="35"/>
  <c r="BR11" i="29" l="1"/>
  <c r="E9" i="35"/>
  <c r="H9" i="35"/>
  <c r="D9" i="35"/>
  <c r="F9" i="35"/>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AG22" i="27"/>
  <c r="BO22" i="27" s="1"/>
  <c r="AH145" i="33" s="1"/>
  <c r="AH21" i="27"/>
  <c r="AG21" i="27"/>
  <c r="BE24" i="27" l="1"/>
  <c r="BO24" i="27"/>
  <c r="AK22" i="27"/>
  <c r="BE22" i="27"/>
  <c r="AU22" i="27"/>
  <c r="AK24" i="27"/>
  <c r="AU24" i="27"/>
  <c r="E6" i="32"/>
  <c r="AS50" i="3" l="1"/>
  <c r="CK13" i="3" l="1"/>
  <c r="CK12" i="3"/>
  <c r="CI13" i="3"/>
  <c r="CI12" i="3"/>
  <c r="CG13" i="3"/>
  <c r="CG12" i="3"/>
  <c r="CE13" i="3"/>
  <c r="CE12" i="3"/>
  <c r="AV158" i="3" l="1"/>
  <c r="AO181" i="3" l="1"/>
  <c r="CC181" i="3" s="1"/>
  <c r="AO182" i="3"/>
  <c r="CL182" i="3" l="1"/>
  <c r="CL181" i="3"/>
  <c r="CJ182" i="3"/>
  <c r="CJ181" i="3"/>
  <c r="CH182" i="3"/>
  <c r="CH181" i="3"/>
  <c r="CF182" i="3"/>
  <c r="CF181" i="3"/>
  <c r="CL180" i="3"/>
  <c r="CJ180" i="3"/>
  <c r="CH180" i="3"/>
  <c r="CF180" i="3"/>
  <c r="BI182" i="3" l="1"/>
  <c r="BI181" i="3"/>
  <c r="BG182" i="3"/>
  <c r="BG181" i="3"/>
  <c r="BS182" i="3"/>
  <c r="BS181" i="3"/>
  <c r="BQ182" i="3"/>
  <c r="BQ181" i="3"/>
  <c r="BQ180" i="3"/>
  <c r="BG180" i="3"/>
  <c r="AY182" i="3"/>
  <c r="AY181" i="3"/>
  <c r="AW182" i="3"/>
  <c r="AW181" i="3"/>
  <c r="AW180" i="3"/>
  <c r="BP180" i="3"/>
  <c r="AN182" i="3"/>
  <c r="AN181" i="3"/>
  <c r="BL181" i="3" s="1"/>
  <c r="CM180" i="3"/>
  <c r="CK180" i="3"/>
  <c r="CI180" i="3"/>
  <c r="CG180" i="3"/>
  <c r="CE180" i="3"/>
  <c r="BF180" i="3"/>
  <c r="AV180" i="3"/>
  <c r="CM182" i="3"/>
  <c r="CK182" i="3"/>
  <c r="CI182" i="3"/>
  <c r="CG182" i="3"/>
  <c r="CE182" i="3"/>
  <c r="BZ182" i="3"/>
  <c r="BP182" i="3"/>
  <c r="BF182" i="3"/>
  <c r="AV182" i="3"/>
  <c r="CM181" i="3"/>
  <c r="CK181" i="3"/>
  <c r="CI181" i="3"/>
  <c r="CG181" i="3"/>
  <c r="CE181" i="3"/>
  <c r="BZ181" i="3"/>
  <c r="BP181" i="3"/>
  <c r="BF181" i="3"/>
  <c r="AV181" i="3"/>
  <c r="AO180" i="3"/>
  <c r="AN180" i="3"/>
  <c r="BL180" i="3" s="1"/>
  <c r="AM181" i="3"/>
  <c r="CB181" i="3" s="1"/>
  <c r="AM182" i="3"/>
  <c r="CB182" i="3" s="1"/>
  <c r="AM180" i="3"/>
  <c r="CB180" i="3" s="1"/>
  <c r="AY180" i="3" l="1"/>
  <c r="CC180" i="3"/>
  <c r="BV182" i="3"/>
  <c r="BL182" i="3"/>
  <c r="R197" i="33"/>
  <c r="R195" i="33"/>
  <c r="K290" i="33"/>
  <c r="L290" i="33" s="1"/>
  <c r="K285" i="33"/>
  <c r="L285" i="33" s="1"/>
  <c r="Y197" i="33"/>
  <c r="Y195" i="33"/>
  <c r="R186" i="33"/>
  <c r="R290" i="33"/>
  <c r="R285" i="33"/>
  <c r="AH290" i="33"/>
  <c r="AI290" i="33" s="1"/>
  <c r="AH285" i="33"/>
  <c r="AI285" i="33" s="1"/>
  <c r="Y290" i="33"/>
  <c r="Y285" i="33"/>
  <c r="AH186" i="33"/>
  <c r="AI186" i="33" s="1"/>
  <c r="K186" i="33"/>
  <c r="AF197" i="33"/>
  <c r="AF195" i="33"/>
  <c r="AF290" i="33"/>
  <c r="AF285" i="33"/>
  <c r="AF186" i="33"/>
  <c r="AG186" i="33" s="1"/>
  <c r="K197" i="33"/>
  <c r="L197" i="33" s="1"/>
  <c r="K195" i="33"/>
  <c r="L195" i="33" s="1"/>
  <c r="AH197" i="33"/>
  <c r="AI197" i="33" s="1"/>
  <c r="AH195" i="33"/>
  <c r="AI195" i="33" s="1"/>
  <c r="Y186" i="33"/>
  <c r="Z186" i="33" s="1"/>
  <c r="AX181" i="3"/>
  <c r="BH181" i="3"/>
  <c r="AR180" i="3"/>
  <c r="BR180" i="3"/>
  <c r="BV180" i="3"/>
  <c r="AX180" i="3"/>
  <c r="BB180" i="3"/>
  <c r="BH182" i="3"/>
  <c r="BR182" i="3"/>
  <c r="BH180" i="3"/>
  <c r="BS180" i="3"/>
  <c r="AR181" i="3"/>
  <c r="BB182" i="3"/>
  <c r="BV181" i="3"/>
  <c r="AX182" i="3"/>
  <c r="AR182" i="3"/>
  <c r="BI180" i="3"/>
  <c r="BB181" i="3"/>
  <c r="BR181" i="3"/>
  <c r="AS12" i="38"/>
  <c r="AI15" i="38"/>
  <c r="AC15" i="38"/>
  <c r="V15" i="38"/>
  <c r="V12" i="38"/>
  <c r="P15" i="38"/>
  <c r="P12" i="38"/>
  <c r="S12" i="38" s="1"/>
  <c r="I17" i="38"/>
  <c r="I15" i="38"/>
  <c r="I12" i="38"/>
  <c r="C17" i="38"/>
  <c r="C15" i="38"/>
  <c r="C12" i="38"/>
  <c r="AM15" i="38" l="1"/>
  <c r="AL15" i="38"/>
  <c r="AK15" i="38"/>
  <c r="AJ15" i="38"/>
  <c r="AN15" i="38"/>
  <c r="AD15" i="38"/>
  <c r="AH15" i="38"/>
  <c r="AF15" i="38"/>
  <c r="AG15" i="38"/>
  <c r="AE15" i="38"/>
  <c r="S15" i="38"/>
  <c r="Q15" i="38"/>
  <c r="T15" i="38"/>
  <c r="U15" i="38"/>
  <c r="R15" i="38"/>
  <c r="X12" i="38"/>
  <c r="Z12" i="38"/>
  <c r="W12" i="38"/>
  <c r="AA12" i="38"/>
  <c r="Y12" i="38"/>
  <c r="AA15" i="38"/>
  <c r="Z15" i="38"/>
  <c r="Y15" i="38"/>
  <c r="W15" i="38"/>
  <c r="X15" i="38"/>
  <c r="AA186" i="33"/>
  <c r="AB186" i="33" s="1"/>
  <c r="AC186" i="33" s="1"/>
  <c r="T186" i="33"/>
  <c r="U186" i="33" s="1"/>
  <c r="M290" i="33"/>
  <c r="N290" i="33" s="1"/>
  <c r="O290" i="33" s="1"/>
  <c r="M285" i="33"/>
  <c r="N285" i="33" s="1"/>
  <c r="O285" i="33" s="1"/>
  <c r="T290" i="33"/>
  <c r="U290" i="33" s="1"/>
  <c r="V290" i="33" s="1"/>
  <c r="T285" i="33"/>
  <c r="U285" i="33" s="1"/>
  <c r="V285" i="33" s="1"/>
  <c r="T197" i="33"/>
  <c r="U197" i="33" s="1"/>
  <c r="V197" i="33" s="1"/>
  <c r="T195" i="33"/>
  <c r="U195" i="33" s="1"/>
  <c r="V195" i="33" s="1"/>
  <c r="M197" i="33"/>
  <c r="N197" i="33" s="1"/>
  <c r="O197" i="33" s="1"/>
  <c r="M195" i="33"/>
  <c r="N195" i="33" s="1"/>
  <c r="O195" i="33" s="1"/>
  <c r="M186" i="33"/>
  <c r="N186" i="33" s="1"/>
  <c r="AA197" i="33"/>
  <c r="AB197" i="33" s="1"/>
  <c r="AC197" i="33" s="1"/>
  <c r="AA195" i="33"/>
  <c r="AB195" i="33" s="1"/>
  <c r="AC195" i="33" s="1"/>
  <c r="AA290" i="33"/>
  <c r="AB290" i="33" s="1"/>
  <c r="AC290" i="33" s="1"/>
  <c r="AA285" i="33"/>
  <c r="AB285" i="33" s="1"/>
  <c r="AC285"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Q12" i="38"/>
  <c r="AQ12" i="38"/>
  <c r="R12" i="38"/>
  <c r="AR12" i="38"/>
  <c r="BT12" i="27"/>
  <c r="BM12" i="27"/>
  <c r="BC12" i="27"/>
  <c r="AS12" i="27"/>
  <c r="AE235" i="33"/>
  <c r="X235" i="33"/>
  <c r="Q235" i="33"/>
  <c r="J235" i="33"/>
  <c r="AE234" i="33"/>
  <c r="X234" i="33"/>
  <c r="Q234" i="33"/>
  <c r="J234" i="33"/>
  <c r="AE233" i="33"/>
  <c r="X233" i="33"/>
  <c r="Q233" i="33"/>
  <c r="J233" i="33"/>
  <c r="AE231" i="33"/>
  <c r="X231" i="33"/>
  <c r="Q231" i="33"/>
  <c r="J231" i="33"/>
  <c r="AE230" i="33"/>
  <c r="X230" i="33"/>
  <c r="Q230" i="33"/>
  <c r="J230" i="33"/>
  <c r="AE229" i="33"/>
  <c r="X229" i="33"/>
  <c r="Q229" i="33"/>
  <c r="J229" i="33"/>
  <c r="AE228" i="33"/>
  <c r="X228" i="33"/>
  <c r="Q228" i="33"/>
  <c r="J228" i="33"/>
  <c r="Q227" i="33"/>
  <c r="J227" i="33"/>
  <c r="AE226" i="33"/>
  <c r="X226" i="33"/>
  <c r="Q226" i="33"/>
  <c r="J226" i="33"/>
  <c r="AE225" i="33"/>
  <c r="X225" i="33"/>
  <c r="Q225" i="33"/>
  <c r="J225" i="33"/>
  <c r="AE224" i="33"/>
  <c r="X224" i="33"/>
  <c r="Q224" i="33"/>
  <c r="J224" i="33"/>
  <c r="AE223" i="33"/>
  <c r="X223" i="33"/>
  <c r="Q223" i="33"/>
  <c r="J223" i="33"/>
  <c r="H235" i="33"/>
  <c r="H234" i="33"/>
  <c r="H233" i="33"/>
  <c r="H231" i="33"/>
  <c r="H230" i="33"/>
  <c r="H229" i="33"/>
  <c r="H228" i="33"/>
  <c r="H227" i="33"/>
  <c r="H226" i="33"/>
  <c r="H225" i="33"/>
  <c r="H224" i="33"/>
  <c r="H223" i="33"/>
  <c r="G235" i="33"/>
  <c r="G234" i="33"/>
  <c r="G233" i="33"/>
  <c r="G231" i="33"/>
  <c r="G230" i="33"/>
  <c r="G228" i="33"/>
  <c r="G227" i="33"/>
  <c r="G226" i="33"/>
  <c r="G225" i="33"/>
  <c r="G224" i="33"/>
  <c r="G223" i="33"/>
  <c r="AF9" i="35" l="1"/>
  <c r="AE9" i="35"/>
  <c r="AD9" i="35"/>
  <c r="AH9" i="35"/>
  <c r="AG9" i="35"/>
  <c r="R137" i="33"/>
  <c r="AE222" i="33"/>
  <c r="X222" i="33"/>
  <c r="Q222" i="33"/>
  <c r="J222" i="33"/>
  <c r="H222" i="33"/>
  <c r="G222" i="33"/>
  <c r="AE221" i="33"/>
  <c r="X221" i="33"/>
  <c r="Q221" i="33"/>
  <c r="J221" i="33"/>
  <c r="H221" i="33"/>
  <c r="G221" i="33"/>
  <c r="AE165" i="33"/>
  <c r="X165" i="33"/>
  <c r="Q165" i="33"/>
  <c r="J165" i="33"/>
  <c r="H165" i="33"/>
  <c r="G165" i="33"/>
  <c r="AE164" i="33"/>
  <c r="X164" i="33"/>
  <c r="Q164" i="33"/>
  <c r="J164" i="33"/>
  <c r="H164" i="33"/>
  <c r="G164" i="33"/>
  <c r="AE163" i="33"/>
  <c r="X163" i="33"/>
  <c r="Q163" i="33"/>
  <c r="J163" i="33"/>
  <c r="H163" i="33"/>
  <c r="G163" i="33"/>
  <c r="AE40" i="33"/>
  <c r="X40" i="33"/>
  <c r="Q40" i="33"/>
  <c r="G40" i="33"/>
  <c r="AE39" i="33"/>
  <c r="X39" i="33"/>
  <c r="Q39" i="33"/>
  <c r="G39" i="33"/>
  <c r="AE38" i="33"/>
  <c r="X38" i="33"/>
  <c r="Q38" i="33"/>
  <c r="G38" i="33"/>
  <c r="AE37" i="33"/>
  <c r="X37" i="33"/>
  <c r="Q37" i="33"/>
  <c r="J37" i="33"/>
  <c r="G37"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5" i="33"/>
  <c r="X305" i="33"/>
  <c r="Q305" i="33"/>
  <c r="AE307" i="33"/>
  <c r="AE306" i="33"/>
  <c r="J305" i="33"/>
  <c r="H305" i="33"/>
  <c r="X307" i="33"/>
  <c r="Q307" i="33"/>
  <c r="J307" i="33"/>
  <c r="H307" i="33"/>
  <c r="G307" i="33"/>
  <c r="X306" i="33"/>
  <c r="Q306" i="33"/>
  <c r="J306" i="33"/>
  <c r="H306" i="33"/>
  <c r="G306" i="33"/>
  <c r="AE205" i="33"/>
  <c r="X205" i="33"/>
  <c r="Q205" i="33"/>
  <c r="J205" i="33"/>
  <c r="H205" i="33"/>
  <c r="G205" i="33"/>
  <c r="J206" i="33"/>
  <c r="H206" i="33"/>
  <c r="G206" i="33"/>
  <c r="AE255" i="33"/>
  <c r="X255" i="33"/>
  <c r="Q255" i="33"/>
  <c r="J255" i="33"/>
  <c r="H255" i="33"/>
  <c r="G255" i="33"/>
  <c r="AE204" i="33"/>
  <c r="X204" i="33"/>
  <c r="Q204" i="33"/>
  <c r="J204" i="33"/>
  <c r="H204" i="33"/>
  <c r="AE203" i="33"/>
  <c r="X203" i="33"/>
  <c r="Q203" i="33"/>
  <c r="J203" i="33"/>
  <c r="H203" i="33"/>
  <c r="AE202" i="33"/>
  <c r="X202" i="33"/>
  <c r="Q202" i="33"/>
  <c r="J202" i="33"/>
  <c r="H202" i="33"/>
  <c r="AE201" i="33"/>
  <c r="X201" i="33"/>
  <c r="Q201" i="33"/>
  <c r="J201" i="33"/>
  <c r="H201" i="33"/>
  <c r="AE200" i="33"/>
  <c r="X200" i="33"/>
  <c r="Q200" i="33"/>
  <c r="J200" i="33"/>
  <c r="H200" i="33"/>
  <c r="J304" i="33"/>
  <c r="H304" i="33"/>
  <c r="AE302" i="33"/>
  <c r="X302" i="33"/>
  <c r="Q302" i="33"/>
  <c r="J302" i="33"/>
  <c r="H302" i="33"/>
  <c r="G302" i="33"/>
  <c r="AE363" i="33"/>
  <c r="Q363" i="33"/>
  <c r="J363" i="33"/>
  <c r="H363" i="33"/>
  <c r="G363" i="33"/>
  <c r="AE362" i="33"/>
  <c r="X362" i="33"/>
  <c r="Q362" i="33"/>
  <c r="J362" i="33"/>
  <c r="H362" i="33"/>
  <c r="G362" i="33"/>
  <c r="AE199" i="33"/>
  <c r="X199" i="33"/>
  <c r="Q199" i="33"/>
  <c r="J199" i="33"/>
  <c r="H199" i="33"/>
  <c r="AE301" i="33"/>
  <c r="X301" i="33"/>
  <c r="Q301" i="33"/>
  <c r="J301" i="33"/>
  <c r="H301" i="33"/>
  <c r="G301" i="33"/>
  <c r="G300" i="33"/>
  <c r="H300" i="33"/>
  <c r="AE359" i="33"/>
  <c r="X359" i="33"/>
  <c r="Q359" i="33"/>
  <c r="J359" i="33"/>
  <c r="H359" i="33"/>
  <c r="G359" i="33"/>
  <c r="AE358" i="33"/>
  <c r="X358" i="33"/>
  <c r="Q358" i="33"/>
  <c r="J358" i="33"/>
  <c r="H358" i="33"/>
  <c r="G358" i="33"/>
  <c r="AE357" i="33"/>
  <c r="X357" i="33"/>
  <c r="Q357" i="33"/>
  <c r="J357" i="33"/>
  <c r="H357" i="33"/>
  <c r="G357"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G291" i="33"/>
  <c r="AE300" i="33"/>
  <c r="X300" i="33"/>
  <c r="Q300" i="33"/>
  <c r="J300" i="33"/>
  <c r="AE299" i="33"/>
  <c r="X299" i="33"/>
  <c r="Q299" i="33"/>
  <c r="J299" i="33"/>
  <c r="H299" i="33"/>
  <c r="G299" i="33"/>
  <c r="AE198" i="33"/>
  <c r="X198" i="33"/>
  <c r="Q198" i="33"/>
  <c r="J198" i="33"/>
  <c r="H198" i="33"/>
  <c r="AE298" i="33"/>
  <c r="X298" i="33"/>
  <c r="Q298" i="33"/>
  <c r="J298" i="33"/>
  <c r="H298" i="33"/>
  <c r="G298" i="33"/>
  <c r="AE296" i="33"/>
  <c r="X296" i="33"/>
  <c r="Q296" i="33"/>
  <c r="J296" i="33"/>
  <c r="H296" i="33"/>
  <c r="G296" i="33"/>
  <c r="AE297" i="33"/>
  <c r="X297" i="33"/>
  <c r="Q297" i="33"/>
  <c r="J297" i="33"/>
  <c r="H297" i="33"/>
  <c r="G297" i="33"/>
  <c r="AE291" i="33"/>
  <c r="X291" i="33"/>
  <c r="Q291" i="33"/>
  <c r="J291" i="33"/>
  <c r="H291" i="33"/>
  <c r="X289" i="33"/>
  <c r="Q289" i="33"/>
  <c r="J289" i="33"/>
  <c r="H289" i="33"/>
  <c r="G289" i="33"/>
  <c r="AE288" i="33"/>
  <c r="X288" i="33"/>
  <c r="Q288" i="33"/>
  <c r="J288" i="33"/>
  <c r="H288" i="33"/>
  <c r="G288" i="33"/>
  <c r="J196" i="33"/>
  <c r="H196" i="33"/>
  <c r="G132" i="33"/>
  <c r="G131" i="33"/>
  <c r="G130" i="33"/>
  <c r="G129" i="33"/>
  <c r="G128" i="33"/>
  <c r="G127" i="33"/>
  <c r="AE287" i="33"/>
  <c r="X287" i="33"/>
  <c r="Q287" i="33"/>
  <c r="J287" i="33"/>
  <c r="H287" i="33"/>
  <c r="G287" i="33"/>
  <c r="AE284" i="33"/>
  <c r="X284" i="33"/>
  <c r="Q284" i="33"/>
  <c r="J284" i="33"/>
  <c r="H284" i="33"/>
  <c r="G284" i="33"/>
  <c r="AE283" i="33"/>
  <c r="X283" i="33"/>
  <c r="Q283" i="33"/>
  <c r="J283" i="33"/>
  <c r="H283" i="33"/>
  <c r="G283" i="33"/>
  <c r="AE282" i="33"/>
  <c r="X282" i="33"/>
  <c r="Q282" i="33"/>
  <c r="J282" i="33"/>
  <c r="H282" i="33"/>
  <c r="G282" i="33"/>
  <c r="AE281" i="33"/>
  <c r="X281" i="33"/>
  <c r="Q281" i="33"/>
  <c r="J281" i="33"/>
  <c r="H281" i="33"/>
  <c r="G281" i="33"/>
  <c r="AE194" i="33"/>
  <c r="X194" i="33"/>
  <c r="Q194" i="33"/>
  <c r="J194" i="33"/>
  <c r="H194" i="33"/>
  <c r="AE193" i="33"/>
  <c r="X193" i="33"/>
  <c r="Q193" i="33"/>
  <c r="J193" i="33"/>
  <c r="H193" i="33"/>
  <c r="AE192" i="33"/>
  <c r="X192" i="33"/>
  <c r="Q192" i="33"/>
  <c r="J192" i="33"/>
  <c r="H192" i="33"/>
  <c r="Q191" i="33"/>
  <c r="J191" i="33"/>
  <c r="H191" i="33"/>
  <c r="AE190" i="33"/>
  <c r="X190" i="33"/>
  <c r="Q190" i="33"/>
  <c r="J190" i="33"/>
  <c r="H190" i="33"/>
  <c r="AE189" i="33"/>
  <c r="X189" i="33"/>
  <c r="Q189" i="33"/>
  <c r="J189" i="33"/>
  <c r="H189" i="33"/>
  <c r="AE188" i="33"/>
  <c r="X188" i="33"/>
  <c r="Q188" i="33"/>
  <c r="J188" i="33"/>
  <c r="H188" i="33"/>
  <c r="AE187" i="33"/>
  <c r="X187" i="33"/>
  <c r="Q187" i="33"/>
  <c r="J187" i="33"/>
  <c r="H187" i="33"/>
  <c r="AE185" i="33"/>
  <c r="X185" i="33"/>
  <c r="Q185" i="33"/>
  <c r="J185" i="33"/>
  <c r="H185" i="33"/>
  <c r="AE356" i="33"/>
  <c r="X356" i="33"/>
  <c r="Q356" i="33"/>
  <c r="J356" i="33"/>
  <c r="H356" i="33"/>
  <c r="G356" i="33"/>
  <c r="AE280" i="33"/>
  <c r="AE279" i="33"/>
  <c r="AE278" i="33"/>
  <c r="AE277" i="33"/>
  <c r="X280" i="33"/>
  <c r="Q280" i="33"/>
  <c r="J280" i="33"/>
  <c r="H280" i="33"/>
  <c r="G280" i="33"/>
  <c r="AE184" i="33"/>
  <c r="X184" i="33"/>
  <c r="Q184" i="33"/>
  <c r="J184" i="33"/>
  <c r="H184" i="33"/>
  <c r="X279" i="33"/>
  <c r="Q279" i="33"/>
  <c r="J279" i="33"/>
  <c r="H279" i="33"/>
  <c r="G279" i="33"/>
  <c r="X278" i="33"/>
  <c r="Q278" i="33"/>
  <c r="J278" i="33"/>
  <c r="H278" i="33"/>
  <c r="G278" i="33"/>
  <c r="X277" i="33"/>
  <c r="Q277" i="33"/>
  <c r="J277" i="33"/>
  <c r="H277" i="33"/>
  <c r="G277" i="33"/>
  <c r="G348" i="33"/>
  <c r="G347" i="33"/>
  <c r="G346" i="33"/>
  <c r="J354" i="33"/>
  <c r="H354" i="33"/>
  <c r="G354" i="33"/>
  <c r="G345" i="33"/>
  <c r="J353" i="33"/>
  <c r="H353" i="33"/>
  <c r="G353" i="33"/>
  <c r="J352" i="33"/>
  <c r="H352" i="33"/>
  <c r="G352" i="33"/>
  <c r="AE350" i="33"/>
  <c r="X350" i="33"/>
  <c r="Q350" i="33"/>
  <c r="J350" i="33"/>
  <c r="H350" i="33"/>
  <c r="G344" i="33"/>
  <c r="G343" i="33"/>
  <c r="G342" i="33"/>
  <c r="G341" i="33"/>
  <c r="G340" i="33"/>
  <c r="G339" i="33"/>
  <c r="G338" i="33"/>
  <c r="G337" i="33"/>
  <c r="G336" i="33"/>
  <c r="G335" i="33"/>
  <c r="G334" i="33"/>
  <c r="G333"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AE321" i="33"/>
  <c r="X321" i="33"/>
  <c r="Q321" i="33"/>
  <c r="J321" i="33"/>
  <c r="H321" i="33"/>
  <c r="G321" i="33"/>
  <c r="G317" i="33"/>
  <c r="G316" i="33"/>
  <c r="AE315" i="33"/>
  <c r="X315" i="33"/>
  <c r="Q315" i="33"/>
  <c r="J315" i="33"/>
  <c r="H315" i="33"/>
  <c r="G315" i="33"/>
  <c r="AE314" i="33"/>
  <c r="X314" i="33"/>
  <c r="Q314" i="33"/>
  <c r="J314" i="33"/>
  <c r="H314" i="33"/>
  <c r="G314" i="33"/>
  <c r="AE313" i="33"/>
  <c r="X313" i="33"/>
  <c r="Q313" i="33"/>
  <c r="J313" i="33"/>
  <c r="H313" i="33"/>
  <c r="G313" i="33"/>
  <c r="AE312" i="33"/>
  <c r="X312" i="33"/>
  <c r="Q312" i="33"/>
  <c r="J312" i="33"/>
  <c r="H312" i="33"/>
  <c r="G312" i="33"/>
  <c r="AE276" i="33"/>
  <c r="X276" i="33"/>
  <c r="Q276" i="33"/>
  <c r="J276" i="33"/>
  <c r="H276" i="33"/>
  <c r="G276" i="33"/>
  <c r="J275" i="33"/>
  <c r="H275" i="33"/>
  <c r="G275" i="33"/>
  <c r="J274" i="33"/>
  <c r="H274" i="33"/>
  <c r="G274" i="33"/>
  <c r="J273" i="33"/>
  <c r="H273" i="33"/>
  <c r="G273" i="33"/>
  <c r="J272" i="33"/>
  <c r="H272" i="33"/>
  <c r="G272" i="33"/>
  <c r="AE271" i="33"/>
  <c r="X271" i="33"/>
  <c r="Q271" i="33"/>
  <c r="J271" i="33"/>
  <c r="H271" i="33"/>
  <c r="G271" i="33"/>
  <c r="AE270" i="33"/>
  <c r="X270" i="33"/>
  <c r="Q270" i="33"/>
  <c r="J270" i="33"/>
  <c r="H270" i="33"/>
  <c r="G270" i="33"/>
  <c r="J269" i="33"/>
  <c r="H269" i="33"/>
  <c r="G269" i="33"/>
  <c r="J268" i="33"/>
  <c r="H268" i="33"/>
  <c r="G268" i="33"/>
  <c r="AE183" i="33"/>
  <c r="X183" i="33"/>
  <c r="Q183" i="33"/>
  <c r="J183" i="33"/>
  <c r="H183" i="33"/>
  <c r="AE267" i="33"/>
  <c r="X267" i="33"/>
  <c r="Q267" i="33"/>
  <c r="J267" i="33"/>
  <c r="H267" i="33"/>
  <c r="G267" i="33"/>
  <c r="AE266" i="33"/>
  <c r="X266" i="33"/>
  <c r="Q266" i="33"/>
  <c r="J266" i="33"/>
  <c r="H266" i="33"/>
  <c r="G266"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311" i="33"/>
  <c r="X311" i="33"/>
  <c r="Q311" i="33"/>
  <c r="J311" i="33"/>
  <c r="H311" i="33"/>
  <c r="G311" i="33"/>
  <c r="AE310" i="33"/>
  <c r="X310" i="33"/>
  <c r="Q310" i="33"/>
  <c r="J310" i="33"/>
  <c r="H310" i="33"/>
  <c r="G310" i="33"/>
  <c r="AE309" i="33"/>
  <c r="X309" i="33"/>
  <c r="Q309" i="33"/>
  <c r="J309" i="33"/>
  <c r="H309" i="33"/>
  <c r="G309" i="33"/>
  <c r="G123" i="33" l="1"/>
  <c r="G122" i="33"/>
  <c r="CC117" i="3"/>
  <c r="CC116" i="3"/>
  <c r="BS117" i="3"/>
  <c r="BS116" i="3"/>
  <c r="BI117" i="3"/>
  <c r="BI116" i="3"/>
  <c r="AY117" i="3"/>
  <c r="M121" i="33" s="1"/>
  <c r="N121" i="33" s="1"/>
  <c r="AY116" i="3"/>
  <c r="M120" i="33" s="1"/>
  <c r="N120" i="33" s="1"/>
  <c r="G114" i="33"/>
  <c r="G113" i="33"/>
  <c r="G121" i="33"/>
  <c r="G112" i="33"/>
  <c r="G120" i="33"/>
  <c r="G119" i="33"/>
  <c r="G118" i="33"/>
  <c r="G111" i="33"/>
  <c r="G110" i="33"/>
  <c r="G109" i="33"/>
  <c r="G108" i="33"/>
  <c r="G107" i="33"/>
  <c r="G106" i="33"/>
  <c r="G105" i="33"/>
  <c r="G104" i="33"/>
  <c r="G103" i="33"/>
  <c r="G102" i="33"/>
  <c r="G101" i="33"/>
  <c r="G100" i="33"/>
  <c r="G99" i="33"/>
  <c r="G98" i="33"/>
  <c r="G97" i="33"/>
  <c r="G96" i="33"/>
  <c r="G95" i="33"/>
  <c r="G94" i="33"/>
  <c r="G93" i="33"/>
  <c r="G92" i="33"/>
  <c r="G89" i="33"/>
  <c r="G88" i="33"/>
  <c r="G87" i="33"/>
  <c r="G86" i="33"/>
  <c r="G85" i="33"/>
  <c r="G84" i="33"/>
  <c r="G83" i="33"/>
  <c r="G82" i="33"/>
  <c r="G81" i="33"/>
  <c r="G80" i="33"/>
  <c r="G79" i="33"/>
  <c r="G78" i="33"/>
  <c r="G77" i="33"/>
  <c r="G76" i="33"/>
  <c r="G75" i="33"/>
  <c r="G74" i="33"/>
  <c r="G73" i="33"/>
  <c r="G72" i="33"/>
  <c r="G71" i="33"/>
  <c r="G70" i="33"/>
  <c r="G69" i="33"/>
  <c r="G68" i="33"/>
  <c r="AE261" i="33"/>
  <c r="X261" i="33"/>
  <c r="Q261" i="33"/>
  <c r="J261" i="33"/>
  <c r="H261" i="33"/>
  <c r="G261" i="33"/>
  <c r="G67"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256" i="33"/>
  <c r="X256" i="33"/>
  <c r="Q256" i="33"/>
  <c r="J256" i="33"/>
  <c r="H256" i="33"/>
  <c r="G256" i="33"/>
  <c r="AE254" i="33"/>
  <c r="X254" i="33"/>
  <c r="Q254" i="33"/>
  <c r="J254" i="33"/>
  <c r="H254" i="33"/>
  <c r="G254" i="33"/>
  <c r="AE361" i="33"/>
  <c r="X361" i="33"/>
  <c r="Q361" i="33"/>
  <c r="J361" i="33"/>
  <c r="H361" i="33"/>
  <c r="G361" i="33"/>
  <c r="AE253" i="33"/>
  <c r="X253" i="33"/>
  <c r="Q253" i="33"/>
  <c r="J253" i="33"/>
  <c r="H253" i="33"/>
  <c r="G253" i="33"/>
  <c r="AE182" i="33"/>
  <c r="X182" i="33"/>
  <c r="Q182" i="33"/>
  <c r="J182" i="33"/>
  <c r="H182" i="33"/>
  <c r="G182" i="33"/>
  <c r="AE252" i="33"/>
  <c r="X252" i="33"/>
  <c r="Q252" i="33"/>
  <c r="J252" i="33"/>
  <c r="H252" i="33"/>
  <c r="G252" i="33"/>
  <c r="AE251" i="33"/>
  <c r="X251" i="33"/>
  <c r="Q251" i="33"/>
  <c r="J251" i="33"/>
  <c r="H251" i="33"/>
  <c r="G251" i="33"/>
  <c r="AE250" i="33"/>
  <c r="X250" i="33"/>
  <c r="Q250" i="33"/>
  <c r="J250" i="33"/>
  <c r="H250" i="33"/>
  <c r="G250" i="33"/>
  <c r="H41" i="33"/>
  <c r="AE249" i="33"/>
  <c r="X249" i="33"/>
  <c r="Q249" i="33"/>
  <c r="J249" i="33"/>
  <c r="H249" i="33"/>
  <c r="G249" i="33"/>
  <c r="AE171" i="33"/>
  <c r="X171" i="33"/>
  <c r="Q171" i="33"/>
  <c r="J171" i="33"/>
  <c r="H171" i="33"/>
  <c r="G171" i="33"/>
  <c r="J170" i="33"/>
  <c r="H170" i="33"/>
  <c r="G170" i="33"/>
  <c r="J169" i="33"/>
  <c r="H169" i="33"/>
  <c r="G169" i="33"/>
  <c r="AE168" i="33" l="1"/>
  <c r="X168" i="33"/>
  <c r="Q168" i="33"/>
  <c r="J168" i="33"/>
  <c r="H168" i="33"/>
  <c r="G168" i="33"/>
  <c r="AE167" i="33"/>
  <c r="X167" i="33"/>
  <c r="Q167" i="33"/>
  <c r="J167" i="33"/>
  <c r="H167" i="33"/>
  <c r="G167" i="33"/>
  <c r="AE166" i="33"/>
  <c r="X166" i="33"/>
  <c r="Q166" i="33"/>
  <c r="J166" i="33"/>
  <c r="H166" i="33"/>
  <c r="G166"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V42" i="3"/>
  <c r="G59" i="33"/>
  <c r="G58" i="33"/>
  <c r="G57" i="33"/>
  <c r="G42" i="33"/>
  <c r="G55" i="33"/>
  <c r="G54" i="33"/>
  <c r="G53" i="33"/>
  <c r="G52" i="33"/>
  <c r="G51" i="33"/>
  <c r="G50" i="33"/>
  <c r="G48" i="33"/>
  <c r="G47" i="33"/>
  <c r="G46" i="33"/>
  <c r="G45" i="33"/>
  <c r="G44" i="33"/>
  <c r="G43" i="33"/>
  <c r="G41" i="33"/>
  <c r="AE181" i="33"/>
  <c r="X181" i="33"/>
  <c r="Q181" i="33"/>
  <c r="J181" i="33"/>
  <c r="H181" i="33"/>
  <c r="G181" i="33"/>
  <c r="AE179" i="33"/>
  <c r="X179" i="33"/>
  <c r="Q179" i="33"/>
  <c r="J179" i="33"/>
  <c r="H179" i="33"/>
  <c r="G179" i="33"/>
  <c r="AE177" i="33"/>
  <c r="X177" i="33"/>
  <c r="Q177" i="33"/>
  <c r="J177" i="33"/>
  <c r="H177" i="33"/>
  <c r="G177" i="33"/>
  <c r="AE176" i="33"/>
  <c r="X176" i="33"/>
  <c r="Q176" i="33"/>
  <c r="J176" i="33"/>
  <c r="H176" i="33"/>
  <c r="G176" i="33"/>
  <c r="AE175" i="33"/>
  <c r="X175" i="33"/>
  <c r="Q175" i="33"/>
  <c r="J175" i="33"/>
  <c r="H175" i="33"/>
  <c r="G175" i="33"/>
  <c r="AE174" i="33"/>
  <c r="AE238" i="33"/>
  <c r="X174" i="33"/>
  <c r="Q174" i="33"/>
  <c r="J174" i="33"/>
  <c r="J241" i="33"/>
  <c r="J240" i="33"/>
  <c r="J239" i="33"/>
  <c r="X238" i="33"/>
  <c r="Q238" i="33"/>
  <c r="J238" i="33"/>
  <c r="G174" i="33"/>
  <c r="G239" i="33"/>
  <c r="G238" i="33"/>
  <c r="H174" i="33"/>
  <c r="H241" i="33"/>
  <c r="H240" i="33"/>
  <c r="H239" i="33"/>
  <c r="H238" i="33"/>
  <c r="G66" i="33"/>
  <c r="G62" i="33"/>
  <c r="G61" i="33"/>
  <c r="G34" i="33" l="1"/>
  <c r="G33" i="33"/>
  <c r="G32" i="33"/>
  <c r="G30" i="33"/>
  <c r="G35" i="33"/>
  <c r="AE237" i="33"/>
  <c r="X237" i="33"/>
  <c r="Q237" i="33"/>
  <c r="J237" i="33"/>
  <c r="H237" i="33"/>
  <c r="G237" i="33"/>
  <c r="AE236" i="33"/>
  <c r="X236" i="33"/>
  <c r="Q236" i="33"/>
  <c r="J236" i="33"/>
  <c r="H236" i="33"/>
  <c r="G236" i="33"/>
  <c r="AE36" i="33"/>
  <c r="X36" i="33"/>
  <c r="Q36" i="33"/>
  <c r="J36" i="33"/>
  <c r="H36" i="33"/>
  <c r="G36" i="33"/>
  <c r="AE162" i="33"/>
  <c r="X162" i="33"/>
  <c r="Q162" i="33"/>
  <c r="J162" i="33"/>
  <c r="H162" i="33"/>
  <c r="G162" i="33"/>
  <c r="AE220" i="33"/>
  <c r="X220" i="33"/>
  <c r="Q220" i="33"/>
  <c r="J220" i="33"/>
  <c r="H220" i="33"/>
  <c r="G220" i="33"/>
  <c r="AE219" i="33"/>
  <c r="X219" i="33"/>
  <c r="Q219" i="33"/>
  <c r="J219" i="33"/>
  <c r="H219" i="33"/>
  <c r="G219" i="33"/>
  <c r="AE218" i="33"/>
  <c r="X218" i="33"/>
  <c r="Q218" i="33"/>
  <c r="J218" i="33"/>
  <c r="H218" i="33"/>
  <c r="G218" i="33"/>
  <c r="J161" i="33"/>
  <c r="H161" i="33"/>
  <c r="G161" i="33"/>
  <c r="J159" i="33"/>
  <c r="H159" i="33"/>
  <c r="G159" i="33"/>
  <c r="AE217" i="33" l="1"/>
  <c r="X217" i="33"/>
  <c r="Q217" i="33"/>
  <c r="J217" i="33"/>
  <c r="H217" i="33"/>
  <c r="G217" i="33"/>
  <c r="AE216" i="33"/>
  <c r="X216" i="33"/>
  <c r="Q216" i="33"/>
  <c r="J216" i="33"/>
  <c r="H216" i="33"/>
  <c r="G216" i="33"/>
  <c r="AE215" i="33"/>
  <c r="X215" i="33"/>
  <c r="Q215" i="33"/>
  <c r="J215" i="33"/>
  <c r="H215" i="33"/>
  <c r="G215" i="33"/>
  <c r="AE158" i="33"/>
  <c r="X158" i="33"/>
  <c r="Q158" i="33"/>
  <c r="J158" i="33"/>
  <c r="H158" i="33"/>
  <c r="AE214" i="33"/>
  <c r="X214" i="33"/>
  <c r="Q214" i="33"/>
  <c r="AI34" i="27"/>
  <c r="J214" i="33"/>
  <c r="H214" i="33"/>
  <c r="G214" i="33"/>
  <c r="AE213" i="33"/>
  <c r="X213" i="33"/>
  <c r="Q213" i="33"/>
  <c r="J213" i="33"/>
  <c r="H213" i="33"/>
  <c r="G213" i="33"/>
  <c r="AE212" i="33"/>
  <c r="X212" i="33"/>
  <c r="Q212" i="33"/>
  <c r="J212" i="33"/>
  <c r="H212" i="33"/>
  <c r="G212" i="33"/>
  <c r="BN16" i="27"/>
  <c r="AA145" i="33"/>
  <c r="AB145" i="33" s="1"/>
  <c r="AC145" i="33" s="1"/>
  <c r="AI22" i="27"/>
  <c r="AE153" i="33"/>
  <c r="X153" i="33"/>
  <c r="Q153" i="33"/>
  <c r="J153" i="33"/>
  <c r="H153" i="33"/>
  <c r="G153" i="33"/>
  <c r="AE152" i="33"/>
  <c r="X152" i="33"/>
  <c r="Q152" i="33"/>
  <c r="J152" i="33"/>
  <c r="H152" i="33"/>
  <c r="G152" i="33"/>
  <c r="AE151" i="33"/>
  <c r="X151" i="33"/>
  <c r="Q151" i="33"/>
  <c r="J151" i="33"/>
  <c r="H151" i="33"/>
  <c r="G151" i="33"/>
  <c r="AE150" i="33"/>
  <c r="X150" i="33"/>
  <c r="Q150" i="33"/>
  <c r="J150" i="33"/>
  <c r="H150" i="33"/>
  <c r="G150" i="33"/>
  <c r="AE149" i="33"/>
  <c r="X149" i="33"/>
  <c r="Q149" i="33"/>
  <c r="J149" i="33"/>
  <c r="H149" i="33"/>
  <c r="G149" i="33"/>
  <c r="AE148" i="33"/>
  <c r="X148" i="33"/>
  <c r="Q148" i="33"/>
  <c r="J148" i="33"/>
  <c r="H148" i="33"/>
  <c r="G148" i="33"/>
  <c r="G27" i="33"/>
  <c r="G26" i="33"/>
  <c r="G25" i="33"/>
  <c r="G24" i="33"/>
  <c r="G23" i="33"/>
  <c r="AE211" i="33"/>
  <c r="X211" i="33"/>
  <c r="Q211" i="33"/>
  <c r="J211" i="33"/>
  <c r="H211" i="33"/>
  <c r="G211" i="33"/>
  <c r="AE147" i="33"/>
  <c r="X147" i="33"/>
  <c r="Q147" i="33"/>
  <c r="J147" i="33"/>
  <c r="H147" i="33"/>
  <c r="G147" i="33"/>
  <c r="G146" i="33"/>
  <c r="AE145" i="33"/>
  <c r="X145" i="33"/>
  <c r="Q145" i="33"/>
  <c r="J145" i="33"/>
  <c r="H145" i="33"/>
  <c r="G145" i="33"/>
  <c r="AE144" i="33"/>
  <c r="X144" i="33"/>
  <c r="Q144" i="33"/>
  <c r="J144" i="33"/>
  <c r="H144" i="33"/>
  <c r="G144" i="33"/>
  <c r="G22" i="33"/>
  <c r="G21" i="33"/>
  <c r="G20" i="33"/>
  <c r="G19" i="33"/>
  <c r="G18" i="33"/>
  <c r="AE143" i="33"/>
  <c r="X143" i="33"/>
  <c r="Q143" i="33"/>
  <c r="J143" i="33"/>
  <c r="AE142" i="33"/>
  <c r="X142" i="33"/>
  <c r="Q142" i="33"/>
  <c r="J142" i="33"/>
  <c r="AE141" i="33"/>
  <c r="X141" i="33"/>
  <c r="Q141" i="33"/>
  <c r="J141" i="33"/>
  <c r="AE140" i="33"/>
  <c r="X140" i="33"/>
  <c r="Q140" i="33"/>
  <c r="J140" i="33"/>
  <c r="H143" i="33"/>
  <c r="G143" i="33"/>
  <c r="H142" i="33"/>
  <c r="G142" i="33"/>
  <c r="H141" i="33"/>
  <c r="G141" i="33"/>
  <c r="H140" i="33"/>
  <c r="G140" i="33"/>
  <c r="AE139" i="33"/>
  <c r="X139" i="33"/>
  <c r="Q139" i="33"/>
  <c r="J139" i="33"/>
  <c r="H139" i="33"/>
  <c r="G139" i="33"/>
  <c r="AE210" i="33"/>
  <c r="X210" i="33"/>
  <c r="Q210" i="33"/>
  <c r="J210" i="33"/>
  <c r="AE209" i="33"/>
  <c r="X209" i="33"/>
  <c r="Q209" i="33"/>
  <c r="J209" i="33"/>
  <c r="H210" i="33"/>
  <c r="G210" i="33"/>
  <c r="H209" i="33"/>
  <c r="G209" i="33"/>
  <c r="G17" i="33"/>
  <c r="G16" i="33"/>
  <c r="AE137" i="33"/>
  <c r="X137" i="33"/>
  <c r="Q137" i="33"/>
  <c r="J137" i="33"/>
  <c r="AE134" i="33"/>
  <c r="X134" i="33"/>
  <c r="Q134" i="33"/>
  <c r="J134" i="33"/>
  <c r="K145" i="33" l="1"/>
  <c r="L145" i="33" s="1"/>
  <c r="M145" i="33"/>
  <c r="N145" i="33" s="1"/>
  <c r="O145" i="33" s="1"/>
  <c r="M147" i="33"/>
  <c r="N147" i="33" s="1"/>
  <c r="O147" i="33" s="1"/>
  <c r="T147" i="33"/>
  <c r="U147" i="33" s="1"/>
  <c r="V147" i="33" s="1"/>
  <c r="T145" i="33"/>
  <c r="U145" i="33" s="1"/>
  <c r="V145" i="33" s="1"/>
  <c r="AI145" i="33"/>
  <c r="AA147" i="33"/>
  <c r="AB147" i="33" s="1"/>
  <c r="AC147" i="33" s="1"/>
  <c r="AH147" i="33"/>
  <c r="AI147" i="33" s="1"/>
  <c r="H137" i="33"/>
  <c r="H134" i="33"/>
  <c r="G134" i="33"/>
  <c r="G15" i="33"/>
  <c r="E206" i="33"/>
  <c r="J365" i="33"/>
  <c r="J366" i="33" s="1"/>
  <c r="J367" i="33" s="1"/>
  <c r="Q365" i="33"/>
  <c r="Q366" i="33" s="1"/>
  <c r="Q367" i="33" s="1"/>
  <c r="X365" i="33"/>
  <c r="X366" i="33" s="1"/>
  <c r="X367" i="33" s="1"/>
  <c r="AE365" i="33"/>
  <c r="AE366" i="33" s="1"/>
  <c r="AE367" i="33" s="1"/>
  <c r="CB165" i="3" l="1"/>
  <c r="AH206" i="33" s="1"/>
  <c r="AI206" i="33" s="1"/>
  <c r="BZ165" i="3"/>
  <c r="CB176" i="3"/>
  <c r="AH205" i="33" s="1"/>
  <c r="BZ176" i="3"/>
  <c r="BR165" i="3"/>
  <c r="AA206" i="33" s="1"/>
  <c r="AB206" i="33" s="1"/>
  <c r="AC206" i="33" s="1"/>
  <c r="BP165" i="3"/>
  <c r="BR176" i="3"/>
  <c r="AA205" i="33" s="1"/>
  <c r="AB205" i="33" s="1"/>
  <c r="BP176" i="3"/>
  <c r="BH165" i="3"/>
  <c r="T206" i="33" s="1"/>
  <c r="U206" i="33" s="1"/>
  <c r="V206" i="33" s="1"/>
  <c r="BF165" i="3"/>
  <c r="BH176" i="3"/>
  <c r="T205" i="33" s="1"/>
  <c r="U205" i="33" s="1"/>
  <c r="BF176" i="3"/>
  <c r="AX165" i="3"/>
  <c r="M206" i="33" s="1"/>
  <c r="N206" i="33" s="1"/>
  <c r="O206" i="33" s="1"/>
  <c r="AV165" i="3"/>
  <c r="AX176" i="3"/>
  <c r="M205" i="33" s="1"/>
  <c r="AV176" i="3"/>
  <c r="B16" i="32" l="1"/>
  <c r="B15" i="32"/>
  <c r="E7" i="32"/>
  <c r="B6" i="32"/>
  <c r="E5" i="32"/>
  <c r="E4" i="32"/>
  <c r="B4" i="32"/>
  <c r="B19" i="32" s="1"/>
  <c r="B24" i="32" s="1"/>
  <c r="E8" i="32" l="1"/>
  <c r="E10" i="32" s="1"/>
  <c r="E12" i="32" s="1"/>
  <c r="B26" i="32" s="1"/>
  <c r="BM140" i="3"/>
  <c r="BW140" i="3"/>
  <c r="CB137" i="3"/>
  <c r="AH291" i="33" s="1"/>
  <c r="AI291" i="33" s="1"/>
  <c r="CA137" i="3"/>
  <c r="BZ137" i="3"/>
  <c r="BM139" i="3"/>
  <c r="BW139" i="3"/>
  <c r="BR137" i="3"/>
  <c r="AA291" i="33" s="1"/>
  <c r="AB291" i="33" s="1"/>
  <c r="AC291" i="33" s="1"/>
  <c r="BQ137" i="3"/>
  <c r="BP137" i="3"/>
  <c r="BH137" i="3"/>
  <c r="T291" i="33" s="1"/>
  <c r="U291" i="33" s="1"/>
  <c r="V291" i="33" s="1"/>
  <c r="BG137" i="3"/>
  <c r="BF137" i="3"/>
  <c r="AX137" i="3"/>
  <c r="M291" i="33" s="1"/>
  <c r="N291" i="33" s="1"/>
  <c r="O291" i="33" s="1"/>
  <c r="AW137" i="3"/>
  <c r="AV137" i="3"/>
  <c r="CL137" i="3"/>
  <c r="CK137" i="3"/>
  <c r="CJ137" i="3"/>
  <c r="CI137" i="3"/>
  <c r="CH137" i="3"/>
  <c r="CG137" i="3"/>
  <c r="CF137" i="3"/>
  <c r="CE137" i="3"/>
  <c r="K291" i="33" s="1"/>
  <c r="L291" i="33" s="1"/>
  <c r="AO137" i="3"/>
  <c r="CC137" i="3" s="1"/>
  <c r="G12" i="32" l="1"/>
  <c r="AY137" i="3"/>
  <c r="BI137" i="3"/>
  <c r="BS137" i="3"/>
  <c r="AO165" i="3"/>
  <c r="AN16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CI176" i="3"/>
  <c r="Y205" i="33" s="1"/>
  <c r="CG176" i="3"/>
  <c r="CE176" i="3"/>
  <c r="CK165" i="3"/>
  <c r="AF206" i="33" s="1"/>
  <c r="CI165" i="3"/>
  <c r="Y206" i="33" s="1"/>
  <c r="CG165" i="3"/>
  <c r="R206" i="33" s="1"/>
  <c r="CE165" i="3"/>
  <c r="K206" i="33" s="1"/>
  <c r="L206" i="33" s="1"/>
  <c r="CI140" i="3"/>
  <c r="Y296" i="33" s="1"/>
  <c r="Z296" i="33" s="1"/>
  <c r="CG140" i="3"/>
  <c r="R296" i="33" s="1"/>
  <c r="CK178" i="3"/>
  <c r="AF307" i="33" s="1"/>
  <c r="AG307" i="33" s="1"/>
  <c r="CI178" i="3"/>
  <c r="Y307" i="33" s="1"/>
  <c r="Z307" i="33" s="1"/>
  <c r="CG178" i="3"/>
  <c r="R307" i="33" s="1"/>
  <c r="S307" i="33" s="1"/>
  <c r="CE178" i="3"/>
  <c r="K307" i="33" s="1"/>
  <c r="CB178" i="3"/>
  <c r="AH307" i="33" s="1"/>
  <c r="AI307" i="33" s="1"/>
  <c r="BZ178" i="3"/>
  <c r="BR178" i="3"/>
  <c r="AA307" i="33" s="1"/>
  <c r="AB307" i="33" s="1"/>
  <c r="AC307" i="33" s="1"/>
  <c r="BP178" i="3"/>
  <c r="BH178" i="3"/>
  <c r="T307" i="33" s="1"/>
  <c r="U307" i="33" s="1"/>
  <c r="V307" i="33" s="1"/>
  <c r="BF178" i="3"/>
  <c r="AX178" i="3"/>
  <c r="M307" i="33" s="1"/>
  <c r="N307" i="33" s="1"/>
  <c r="AV178" i="3"/>
  <c r="AO178" i="3"/>
  <c r="CC178" i="3" s="1"/>
  <c r="AN178" i="3"/>
  <c r="BB178" i="3" s="1"/>
  <c r="CK177" i="3"/>
  <c r="AF306" i="33" s="1"/>
  <c r="AG306" i="33" s="1"/>
  <c r="CI177" i="3"/>
  <c r="Y306" i="33" s="1"/>
  <c r="Z306" i="33" s="1"/>
  <c r="CG177" i="3"/>
  <c r="R306" i="33" s="1"/>
  <c r="S306" i="33" s="1"/>
  <c r="CE177" i="3"/>
  <c r="K306" i="33" s="1"/>
  <c r="CB177" i="3"/>
  <c r="AH306" i="33" s="1"/>
  <c r="AI306" i="33" s="1"/>
  <c r="BZ177" i="3"/>
  <c r="BR177" i="3"/>
  <c r="AA306" i="33" s="1"/>
  <c r="AB306" i="33" s="1"/>
  <c r="AC306" i="33" s="1"/>
  <c r="BP177" i="3"/>
  <c r="BH177" i="3"/>
  <c r="T306" i="33" s="1"/>
  <c r="U306" i="33" s="1"/>
  <c r="V306" i="33" s="1"/>
  <c r="BF177" i="3"/>
  <c r="AX177" i="3"/>
  <c r="M306" i="33" s="1"/>
  <c r="N306"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5" i="33" s="1"/>
  <c r="CI179" i="3"/>
  <c r="Y305" i="33" s="1"/>
  <c r="Z305" i="33" s="1"/>
  <c r="CG179" i="3"/>
  <c r="R305" i="33" s="1"/>
  <c r="CE179" i="3"/>
  <c r="K305" i="33" s="1"/>
  <c r="L305" i="33" s="1"/>
  <c r="CB179" i="3"/>
  <c r="AH305" i="33" s="1"/>
  <c r="AI305" i="33" s="1"/>
  <c r="BZ179" i="3"/>
  <c r="BR179" i="3"/>
  <c r="AA305" i="33" s="1"/>
  <c r="AB305" i="33" s="1"/>
  <c r="AC305" i="33" s="1"/>
  <c r="BP179" i="3"/>
  <c r="BH179" i="3"/>
  <c r="T305" i="33" s="1"/>
  <c r="U305" i="33" s="1"/>
  <c r="V305" i="33" s="1"/>
  <c r="BF179" i="3"/>
  <c r="AX179" i="3"/>
  <c r="M305" i="33" s="1"/>
  <c r="N305" i="33" s="1"/>
  <c r="O305" i="33" s="1"/>
  <c r="AV179" i="3"/>
  <c r="AS21" i="27"/>
  <c r="BX21" i="27"/>
  <c r="BV21" i="27"/>
  <c r="BT21" i="27"/>
  <c r="BR21" i="27"/>
  <c r="BO21" i="27"/>
  <c r="BM21" i="27"/>
  <c r="BE21" i="27"/>
  <c r="BC21" i="27"/>
  <c r="AB21" i="27"/>
  <c r="BJ21" i="27" s="1"/>
  <c r="BN21" i="27" s="1"/>
  <c r="AE18" i="33" s="1"/>
  <c r="AA21" i="27"/>
  <c r="AY21" i="27" s="1"/>
  <c r="BX9" i="27"/>
  <c r="BV9" i="27"/>
  <c r="BT9" i="27"/>
  <c r="BR9" i="27"/>
  <c r="BO9" i="27"/>
  <c r="BM9" i="27"/>
  <c r="AS9" i="27"/>
  <c r="AI9" i="27"/>
  <c r="K134" i="33" s="1"/>
  <c r="BX12" i="27"/>
  <c r="BV12" i="27"/>
  <c r="AF137" i="33"/>
  <c r="AG137" i="33" s="1"/>
  <c r="Y137" i="33"/>
  <c r="Z137" i="33" s="1"/>
  <c r="S137" i="33"/>
  <c r="AK12" i="27"/>
  <c r="AB9" i="27"/>
  <c r="BP9" i="27" s="1"/>
  <c r="AA9" i="27"/>
  <c r="BI9" i="27" s="1"/>
  <c r="R205" i="33" l="1"/>
  <c r="R287" i="33"/>
  <c r="K205" i="33"/>
  <c r="AF147" i="33"/>
  <c r="AG147" i="33" s="1"/>
  <c r="K144" i="33"/>
  <c r="L144" i="33" s="1"/>
  <c r="AH134" i="33"/>
  <c r="AI134" i="33" s="1"/>
  <c r="M144" i="33"/>
  <c r="N144" i="33" s="1"/>
  <c r="O144" i="33" s="1"/>
  <c r="T134" i="33"/>
  <c r="T137" i="33"/>
  <c r="U137" i="33" s="1"/>
  <c r="V137" i="33" s="1"/>
  <c r="Y144" i="33"/>
  <c r="Z144" i="33" s="1"/>
  <c r="T144" i="33"/>
  <c r="U144" i="33" s="1"/>
  <c r="V144" i="33" s="1"/>
  <c r="R145" i="33"/>
  <c r="S145" i="33" s="1"/>
  <c r="AH137" i="33"/>
  <c r="AI137" i="33" s="1"/>
  <c r="AF145" i="33"/>
  <c r="AG145" i="33" s="1"/>
  <c r="AA134" i="33"/>
  <c r="AB134" i="33" s="1"/>
  <c r="M134" i="33"/>
  <c r="AA144" i="33"/>
  <c r="AB144" i="33" s="1"/>
  <c r="AH15" i="33"/>
  <c r="AI15" i="33" s="1"/>
  <c r="R144" i="33"/>
  <c r="S144" i="33" s="1"/>
  <c r="R147" i="33"/>
  <c r="S147" i="33" s="1"/>
  <c r="AA137" i="33"/>
  <c r="AB137" i="33" s="1"/>
  <c r="AC137" i="33" s="1"/>
  <c r="AF144" i="33"/>
  <c r="AG144" i="33" s="1"/>
  <c r="Y145" i="33"/>
  <c r="Z145" i="33" s="1"/>
  <c r="AH144" i="33"/>
  <c r="AI144" i="33" s="1"/>
  <c r="Y147" i="33"/>
  <c r="Z147" i="33" s="1"/>
  <c r="CF165" i="3"/>
  <c r="CH165" i="3"/>
  <c r="CJ165" i="3"/>
  <c r="CL165" i="3"/>
  <c r="CM165" i="3"/>
  <c r="AV21" i="27"/>
  <c r="AO9" i="27"/>
  <c r="AF21" i="27"/>
  <c r="AJ21" i="27" s="1"/>
  <c r="AZ9" i="27"/>
  <c r="AF9" i="27"/>
  <c r="AV9" i="27"/>
  <c r="BJ9" i="27"/>
  <c r="AP9" i="27"/>
  <c r="AY9" i="27"/>
  <c r="AL21" i="27"/>
  <c r="BI21" i="27"/>
  <c r="BF21" i="27"/>
  <c r="AA18" i="33" s="1"/>
  <c r="AO21" i="27"/>
  <c r="AP21" i="27"/>
  <c r="BU21" i="27" s="1"/>
  <c r="AZ21" i="27"/>
  <c r="BW21" i="27" s="1"/>
  <c r="BF9" i="27"/>
  <c r="AA15" i="33" s="1"/>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44" i="33" l="1"/>
  <c r="CA9" i="27"/>
  <c r="BU9" i="27"/>
  <c r="R15" i="33" s="1"/>
  <c r="AT9" i="27"/>
  <c r="N134" i="33"/>
  <c r="O134" i="33" s="1"/>
  <c r="AT21" i="27"/>
  <c r="Q18" i="33" s="1"/>
  <c r="L134" i="33"/>
  <c r="BS21" i="27"/>
  <c r="K18" i="33" s="1"/>
  <c r="L18" i="33" s="1"/>
  <c r="U134" i="33"/>
  <c r="J18" i="33"/>
  <c r="T18" i="33"/>
  <c r="U18" i="33" s="1"/>
  <c r="V18" i="33" s="1"/>
  <c r="AF18" i="33"/>
  <c r="AG18" i="33" s="1"/>
  <c r="AH18" i="33"/>
  <c r="AI18" i="33" s="1"/>
  <c r="Y18" i="33"/>
  <c r="Z18" i="33" s="1"/>
  <c r="T15" i="33"/>
  <c r="R18" i="33"/>
  <c r="S18" i="33" s="1"/>
  <c r="AC134" i="33"/>
  <c r="M18" i="33"/>
  <c r="N18" i="33" s="1"/>
  <c r="O18" i="33" s="1"/>
  <c r="AB18" i="33"/>
  <c r="AC18" i="33" s="1"/>
  <c r="AB15" i="33"/>
  <c r="AC15" i="33" s="1"/>
  <c r="M15" i="33"/>
  <c r="BD21" i="27"/>
  <c r="BZ21" i="27"/>
  <c r="AJ9" i="27"/>
  <c r="BS9" i="27"/>
  <c r="K15" i="33" s="1"/>
  <c r="BN9" i="27"/>
  <c r="AE15" i="33" s="1"/>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N15" i="33" l="1"/>
  <c r="S15" i="33"/>
  <c r="U15" i="33"/>
  <c r="V134" i="33"/>
  <c r="L15" i="33"/>
  <c r="J15" i="33"/>
  <c r="X15" i="33"/>
  <c r="Y15" i="33"/>
  <c r="Z15" i="33" s="1"/>
  <c r="X18" i="33"/>
  <c r="AF15" i="33"/>
  <c r="AG15" i="33" s="1"/>
  <c r="Q15" i="33"/>
  <c r="AO176" i="3"/>
  <c r="AN176" i="3"/>
  <c r="O15" i="33" l="1"/>
  <c r="V15" i="33"/>
  <c r="BW176" i="3"/>
  <c r="BI176" i="3"/>
  <c r="BM176" i="3"/>
  <c r="BC176" i="3"/>
  <c r="AY176" i="3"/>
  <c r="CC176" i="3"/>
  <c r="AS176" i="3"/>
  <c r="BS176" i="3"/>
  <c r="BV176" i="3"/>
  <c r="AR176" i="3"/>
  <c r="BL176" i="3"/>
  <c r="BB176" i="3"/>
  <c r="CK174" i="3"/>
  <c r="CI174" i="3"/>
  <c r="CG174" i="3"/>
  <c r="CE174" i="3"/>
  <c r="K287" i="33" s="1"/>
  <c r="L287" i="33" s="1"/>
  <c r="C18" i="38" s="1"/>
  <c r="CB174" i="3"/>
  <c r="AH287" i="33" s="1"/>
  <c r="AI287" i="33" s="1"/>
  <c r="AV18" i="38" s="1"/>
  <c r="BZ174" i="3"/>
  <c r="BR174" i="3"/>
  <c r="AA287" i="33" s="1"/>
  <c r="AB287" i="33" s="1"/>
  <c r="AC287" i="33" s="1"/>
  <c r="AI18" i="38" s="1"/>
  <c r="BP174" i="3"/>
  <c r="V18" i="38"/>
  <c r="AX174" i="3"/>
  <c r="M287" i="33" s="1"/>
  <c r="AV174" i="3"/>
  <c r="CK173" i="3"/>
  <c r="AF284" i="33" s="1"/>
  <c r="AG284" i="33" s="1"/>
  <c r="CI173" i="3"/>
  <c r="Y284" i="33" s="1"/>
  <c r="Z284" i="33" s="1"/>
  <c r="CG173" i="3"/>
  <c r="R284" i="33" s="1"/>
  <c r="S284" i="33" s="1"/>
  <c r="CE173" i="3"/>
  <c r="K284" i="33" s="1"/>
  <c r="L284" i="33" s="1"/>
  <c r="CB173" i="3"/>
  <c r="AH284" i="33" s="1"/>
  <c r="AI284" i="33" s="1"/>
  <c r="BZ173" i="3"/>
  <c r="BR173" i="3"/>
  <c r="AA284" i="33" s="1"/>
  <c r="AB284" i="33" s="1"/>
  <c r="AC284" i="33" s="1"/>
  <c r="BP173" i="3"/>
  <c r="BH173" i="3"/>
  <c r="T284" i="33" s="1"/>
  <c r="U284" i="33" s="1"/>
  <c r="V284" i="33" s="1"/>
  <c r="BF173" i="3"/>
  <c r="AX173" i="3"/>
  <c r="M284" i="33" s="1"/>
  <c r="AV173" i="3"/>
  <c r="CK172" i="3"/>
  <c r="AF283" i="33" s="1"/>
  <c r="AG283" i="33" s="1"/>
  <c r="CI172" i="3"/>
  <c r="Y283" i="33" s="1"/>
  <c r="Z283" i="33" s="1"/>
  <c r="CG172" i="3"/>
  <c r="R283" i="33" s="1"/>
  <c r="S283" i="33" s="1"/>
  <c r="CE172" i="3"/>
  <c r="K283" i="33" s="1"/>
  <c r="L283" i="33" s="1"/>
  <c r="CB172" i="3"/>
  <c r="AH283" i="33" s="1"/>
  <c r="AI283" i="33" s="1"/>
  <c r="BZ172" i="3"/>
  <c r="BR172" i="3"/>
  <c r="AA283" i="33" s="1"/>
  <c r="AB283" i="33" s="1"/>
  <c r="AC283" i="33" s="1"/>
  <c r="BP172" i="3"/>
  <c r="BH172" i="3"/>
  <c r="T283" i="33" s="1"/>
  <c r="U283" i="33" s="1"/>
  <c r="V283" i="33" s="1"/>
  <c r="BF172" i="3"/>
  <c r="AX172" i="3"/>
  <c r="M283" i="33" s="1"/>
  <c r="AV172" i="3"/>
  <c r="AO174" i="3"/>
  <c r="BS174" i="3" s="1"/>
  <c r="AA123" i="33" s="1"/>
  <c r="AB123" i="33" s="1"/>
  <c r="AC123" i="33" s="1"/>
  <c r="AN174" i="3"/>
  <c r="AR174" i="3" s="1"/>
  <c r="AO173" i="3"/>
  <c r="BW173" i="3" s="1"/>
  <c r="CL173" i="3" s="1"/>
  <c r="AN173" i="3"/>
  <c r="AR173" i="3" s="1"/>
  <c r="AO172" i="3"/>
  <c r="BW172" i="3" s="1"/>
  <c r="CL172" i="3" s="1"/>
  <c r="AN172" i="3"/>
  <c r="BB172" i="3" s="1"/>
  <c r="AO171" i="3"/>
  <c r="CC171" i="3" s="1"/>
  <c r="AN171" i="3"/>
  <c r="BL171" i="3" s="1"/>
  <c r="CK171" i="3"/>
  <c r="AF282" i="33" s="1"/>
  <c r="AG282" i="33" s="1"/>
  <c r="CI171" i="3"/>
  <c r="Y282" i="33" s="1"/>
  <c r="Z282" i="33" s="1"/>
  <c r="CG171" i="3"/>
  <c r="R282" i="33" s="1"/>
  <c r="S282" i="33" s="1"/>
  <c r="CE171" i="3"/>
  <c r="K282" i="33" s="1"/>
  <c r="L282" i="33" s="1"/>
  <c r="CB171" i="3"/>
  <c r="AH282" i="33" s="1"/>
  <c r="AI282" i="33" s="1"/>
  <c r="BZ171" i="3"/>
  <c r="BR171" i="3"/>
  <c r="AA282" i="33" s="1"/>
  <c r="AB282" i="33" s="1"/>
  <c r="AC282" i="33" s="1"/>
  <c r="BP171" i="3"/>
  <c r="BH171" i="3"/>
  <c r="T282" i="33" s="1"/>
  <c r="U282" i="33" s="1"/>
  <c r="V282" i="33" s="1"/>
  <c r="BF171" i="3"/>
  <c r="AX171" i="3"/>
  <c r="M282" i="33" s="1"/>
  <c r="AV171" i="3"/>
  <c r="CK141" i="3"/>
  <c r="AF298" i="33" s="1"/>
  <c r="AG298" i="33" s="1"/>
  <c r="CI141" i="3"/>
  <c r="Y298" i="33" s="1"/>
  <c r="Z298" i="33" s="1"/>
  <c r="CG141" i="3"/>
  <c r="R298" i="33" s="1"/>
  <c r="S298" i="33" s="1"/>
  <c r="CE141" i="3"/>
  <c r="K298" i="33" s="1"/>
  <c r="CB141" i="3"/>
  <c r="AH298" i="33" s="1"/>
  <c r="AI298" i="33" s="1"/>
  <c r="BZ141" i="3"/>
  <c r="BR141" i="3"/>
  <c r="AA298" i="33" s="1"/>
  <c r="AB298" i="33" s="1"/>
  <c r="AC298" i="33" s="1"/>
  <c r="BP141" i="3"/>
  <c r="BH141" i="3"/>
  <c r="T298" i="33" s="1"/>
  <c r="U298" i="33" s="1"/>
  <c r="V298" i="33" s="1"/>
  <c r="BF141" i="3"/>
  <c r="AX141" i="3"/>
  <c r="M298" i="33" s="1"/>
  <c r="N298" i="33" s="1"/>
  <c r="AV141" i="3"/>
  <c r="AO141" i="3"/>
  <c r="CC141" i="3" s="1"/>
  <c r="AN141" i="3"/>
  <c r="BB141" i="3" s="1"/>
  <c r="CK133" i="3"/>
  <c r="AF281" i="33" s="1"/>
  <c r="AG281" i="33" s="1"/>
  <c r="CI133" i="3"/>
  <c r="Y281" i="33" s="1"/>
  <c r="Z281" i="33" s="1"/>
  <c r="CG133" i="3"/>
  <c r="R281" i="33" s="1"/>
  <c r="S281" i="33" s="1"/>
  <c r="CE133" i="3"/>
  <c r="K281" i="33" s="1"/>
  <c r="CB133" i="3"/>
  <c r="AH281" i="33" s="1"/>
  <c r="AI281" i="33" s="1"/>
  <c r="BZ133" i="3"/>
  <c r="BR133" i="3"/>
  <c r="AA281" i="33" s="1"/>
  <c r="AB281" i="33" s="1"/>
  <c r="AC281" i="33" s="1"/>
  <c r="BP133" i="3"/>
  <c r="BH133" i="3"/>
  <c r="T281" i="33" s="1"/>
  <c r="U281" i="33" s="1"/>
  <c r="V281" i="33" s="1"/>
  <c r="BF133" i="3"/>
  <c r="AX133" i="3"/>
  <c r="M281" i="33" s="1"/>
  <c r="N281" i="33" s="1"/>
  <c r="AV133" i="3"/>
  <c r="AO133" i="3"/>
  <c r="CC133" i="3" s="1"/>
  <c r="AN133" i="3"/>
  <c r="BB133" i="3" s="1"/>
  <c r="CK49" i="3"/>
  <c r="AF254" i="33" s="1"/>
  <c r="AG254" i="33" s="1"/>
  <c r="CI49" i="3"/>
  <c r="Y254" i="33" s="1"/>
  <c r="Z254" i="33" s="1"/>
  <c r="CG49" i="3"/>
  <c r="R254" i="33" s="1"/>
  <c r="S254" i="33" s="1"/>
  <c r="CE49" i="3"/>
  <c r="K254" i="33" s="1"/>
  <c r="CB49" i="3"/>
  <c r="AH254" i="33" s="1"/>
  <c r="AI254" i="33" s="1"/>
  <c r="BZ49" i="3"/>
  <c r="BR49" i="3"/>
  <c r="AA254" i="33" s="1"/>
  <c r="AB254" i="33" s="1"/>
  <c r="AC254" i="33" s="1"/>
  <c r="BP49" i="3"/>
  <c r="BH49" i="3"/>
  <c r="T254" i="33" s="1"/>
  <c r="U254" i="33" s="1"/>
  <c r="V254" i="33" s="1"/>
  <c r="BF49" i="3"/>
  <c r="AX49" i="3"/>
  <c r="M254" i="33" s="1"/>
  <c r="N254" i="33" s="1"/>
  <c r="AV49" i="3"/>
  <c r="AO49" i="3"/>
  <c r="BM49" i="3" s="1"/>
  <c r="AN49" i="3"/>
  <c r="BL49" i="3" s="1"/>
  <c r="AJ18" i="38" l="1"/>
  <c r="F18" i="38"/>
  <c r="E18" i="38"/>
  <c r="D18" i="38"/>
  <c r="H18" i="38"/>
  <c r="G18" i="38"/>
  <c r="AV13" i="38"/>
  <c r="BA13" i="38" s="1"/>
  <c r="C13" i="38"/>
  <c r="P13" i="38"/>
  <c r="U13" i="38" s="1"/>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82" i="33"/>
  <c r="O282" i="33" s="1"/>
  <c r="N284" i="33"/>
  <c r="O284" i="33" s="1"/>
  <c r="N287" i="33"/>
  <c r="O287" i="33" s="1"/>
  <c r="I18" i="38" s="1"/>
  <c r="N283" i="33"/>
  <c r="O283"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3" i="33" s="1"/>
  <c r="U123" i="33" s="1"/>
  <c r="V123" i="33" s="1"/>
  <c r="BV172" i="3"/>
  <c r="BB173" i="3"/>
  <c r="AY174" i="3"/>
  <c r="M123" i="33" s="1"/>
  <c r="CL174" i="3"/>
  <c r="BI172" i="3"/>
  <c r="BC173" i="3"/>
  <c r="CH173" i="3" s="1"/>
  <c r="BB174" i="3"/>
  <c r="CC174" i="3"/>
  <c r="AH123" i="33" s="1"/>
  <c r="AI123" i="33" s="1"/>
  <c r="BL172" i="3"/>
  <c r="BS173"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AM18" i="38" l="1"/>
  <c r="AN18" i="38"/>
  <c r="AL18" i="38"/>
  <c r="AK18" i="38"/>
  <c r="AH13" i="38"/>
  <c r="AG13" i="38"/>
  <c r="AF13" i="38"/>
  <c r="AE13" i="38"/>
  <c r="AD13" i="38"/>
  <c r="AN13" i="38"/>
  <c r="AM13" i="38"/>
  <c r="AK13" i="38"/>
  <c r="AL13" i="38"/>
  <c r="AJ13" i="38"/>
  <c r="W13" i="38"/>
  <c r="X13" i="38"/>
  <c r="Z13" i="38"/>
  <c r="AA13" i="38"/>
  <c r="Y13" i="38"/>
  <c r="N18" i="38"/>
  <c r="M18" i="38"/>
  <c r="L18" i="38"/>
  <c r="K18" i="38"/>
  <c r="J18" i="38"/>
  <c r="E13" i="38"/>
  <c r="H13" i="38"/>
  <c r="F13" i="38"/>
  <c r="G13" i="38"/>
  <c r="D13" i="38"/>
  <c r="S13" i="38"/>
  <c r="Q13" i="38"/>
  <c r="T13" i="38"/>
  <c r="R13" i="38"/>
  <c r="AY13" i="38"/>
  <c r="AW13" i="38"/>
  <c r="AZ13" i="38"/>
  <c r="AX13" i="38"/>
  <c r="I13" i="38"/>
  <c r="AS13" i="38"/>
  <c r="AT13" i="38"/>
  <c r="AQ13" i="38"/>
  <c r="AR13" i="38"/>
  <c r="AU13" i="38"/>
  <c r="N123" i="33"/>
  <c r="O123" i="33" s="1"/>
  <c r="AW141" i="3"/>
  <c r="CM141" i="3"/>
  <c r="CM173" i="3"/>
  <c r="CM133" i="3"/>
  <c r="CM174" i="3"/>
  <c r="CM49" i="3"/>
  <c r="CM172" i="3"/>
  <c r="CF171" i="3"/>
  <c r="CM171" i="3"/>
  <c r="AW171" i="3"/>
  <c r="BG171" i="3"/>
  <c r="CA171" i="3"/>
  <c r="BQ171" i="3"/>
  <c r="BG172" i="3"/>
  <c r="CA141" i="3"/>
  <c r="CF141" i="3"/>
  <c r="CJ172" i="3"/>
  <c r="BQ172" i="3"/>
  <c r="CA174" i="3"/>
  <c r="AE123" i="33" s="1"/>
  <c r="CF173" i="3"/>
  <c r="AW173" i="3"/>
  <c r="CH174" i="3"/>
  <c r="BG174" i="3"/>
  <c r="Q123" i="33" s="1"/>
  <c r="AW174" i="3"/>
  <c r="J123" i="33" s="1"/>
  <c r="CF174" i="3"/>
  <c r="K123" i="33" s="1"/>
  <c r="L123" i="33" s="1"/>
  <c r="CJ174" i="3"/>
  <c r="BQ174" i="3"/>
  <c r="X123"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9" i="33" s="1"/>
  <c r="AG249" i="33" s="1"/>
  <c r="CI42" i="3"/>
  <c r="Y249" i="33" s="1"/>
  <c r="Z249" i="33" s="1"/>
  <c r="CG42" i="3"/>
  <c r="R249" i="33" s="1"/>
  <c r="S249" i="33" s="1"/>
  <c r="CE42" i="3"/>
  <c r="K249" i="33" s="1"/>
  <c r="AH249" i="33"/>
  <c r="AI249" i="33" s="1"/>
  <c r="BZ42" i="3"/>
  <c r="AA249" i="33"/>
  <c r="AB249" i="33" s="1"/>
  <c r="AC249" i="33" s="1"/>
  <c r="BP42" i="3"/>
  <c r="T249" i="33"/>
  <c r="U249" i="33" s="1"/>
  <c r="V249" i="33" s="1"/>
  <c r="BF42" i="3"/>
  <c r="AX42" i="3"/>
  <c r="M249" i="33" s="1"/>
  <c r="N249" i="33" s="1"/>
  <c r="AO42" i="3"/>
  <c r="CC42" i="3" s="1"/>
  <c r="AN42" i="3"/>
  <c r="BB42" i="3" s="1"/>
  <c r="CK18" i="3"/>
  <c r="AF244" i="33" s="1"/>
  <c r="AG244" i="33" s="1"/>
  <c r="CI18" i="3"/>
  <c r="Y244" i="33" s="1"/>
  <c r="Z244" i="33" s="1"/>
  <c r="CG18" i="3"/>
  <c r="R244" i="33" s="1"/>
  <c r="S244" i="33" s="1"/>
  <c r="CE18" i="3"/>
  <c r="K244" i="33" s="1"/>
  <c r="BZ18" i="3"/>
  <c r="BP18" i="3"/>
  <c r="BF18" i="3"/>
  <c r="AV18" i="3"/>
  <c r="AN18" i="3"/>
  <c r="BB18" i="3" s="1"/>
  <c r="AX18" i="3"/>
  <c r="M244" i="33" s="1"/>
  <c r="N244" i="33" s="1"/>
  <c r="BH18" i="3"/>
  <c r="T244" i="33" s="1"/>
  <c r="U244" i="33" s="1"/>
  <c r="V244" i="33" s="1"/>
  <c r="BR18" i="3"/>
  <c r="AA244" i="33" s="1"/>
  <c r="AB244" i="33" s="1"/>
  <c r="AC244" i="33" s="1"/>
  <c r="CB18" i="3"/>
  <c r="AH244" i="33" s="1"/>
  <c r="AI244"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5" i="33" s="1"/>
  <c r="AG245" i="33" s="1"/>
  <c r="CI17" i="3"/>
  <c r="Y245" i="33" s="1"/>
  <c r="Z245" i="33" s="1"/>
  <c r="CG17" i="3"/>
  <c r="R245" i="33" s="1"/>
  <c r="K245" i="33"/>
  <c r="CB17" i="3"/>
  <c r="AH245" i="33" s="1"/>
  <c r="AI245" i="33" s="1"/>
  <c r="BZ17" i="3"/>
  <c r="BR17" i="3"/>
  <c r="AA245" i="33" s="1"/>
  <c r="AB245" i="33" s="1"/>
  <c r="AC245" i="33" s="1"/>
  <c r="BP17" i="3"/>
  <c r="BH17" i="3"/>
  <c r="T245" i="33" s="1"/>
  <c r="U245" i="33" s="1"/>
  <c r="BF17" i="3"/>
  <c r="AX17" i="3"/>
  <c r="M245" i="33" s="1"/>
  <c r="N245" i="33" s="1"/>
  <c r="AV17" i="3"/>
  <c r="AN17" i="3"/>
  <c r="BL17" i="3" s="1"/>
  <c r="AO17" i="3"/>
  <c r="BS17" i="3" s="1"/>
  <c r="K16" i="31" l="1"/>
  <c r="BB17" i="3"/>
  <c r="BI17" i="3"/>
  <c r="BW17" i="3"/>
  <c r="BM17" i="3"/>
  <c r="AR17" i="3"/>
  <c r="BV17" i="3"/>
  <c r="AS17" i="3"/>
  <c r="AY17" i="3"/>
  <c r="CC17" i="3"/>
  <c r="BC17" i="3"/>
  <c r="CH17" i="3" s="1"/>
  <c r="CK170" i="3"/>
  <c r="AF181" i="33" s="1"/>
  <c r="AG181" i="33" s="1"/>
  <c r="CI170" i="3"/>
  <c r="Y181" i="33" s="1"/>
  <c r="Z181" i="33" s="1"/>
  <c r="CG170" i="3"/>
  <c r="R181" i="33" s="1"/>
  <c r="S181" i="33" s="1"/>
  <c r="CE170" i="3"/>
  <c r="K181" i="33" s="1"/>
  <c r="L181" i="33" s="1"/>
  <c r="CB170" i="3"/>
  <c r="AH181" i="33" s="1"/>
  <c r="AI181" i="33" s="1"/>
  <c r="BZ170" i="3"/>
  <c r="BR170" i="3"/>
  <c r="AA181" i="33" s="1"/>
  <c r="AB181" i="33" s="1"/>
  <c r="AC181" i="33" s="1"/>
  <c r="BP170" i="3"/>
  <c r="BH170" i="3"/>
  <c r="T181" i="33" s="1"/>
  <c r="U181" i="33" s="1"/>
  <c r="V181" i="33" s="1"/>
  <c r="BF170" i="3"/>
  <c r="AX170" i="3"/>
  <c r="M181" i="33" s="1"/>
  <c r="AV170" i="3"/>
  <c r="AO170" i="3"/>
  <c r="CC170" i="3" s="1"/>
  <c r="AN170" i="3"/>
  <c r="BB170" i="3" s="1"/>
  <c r="CK168" i="3"/>
  <c r="AF179" i="33" s="1"/>
  <c r="CI168" i="3"/>
  <c r="Y179" i="33" s="1"/>
  <c r="Z179" i="33" s="1"/>
  <c r="CG168" i="3"/>
  <c r="R179" i="33" s="1"/>
  <c r="CE168" i="3"/>
  <c r="K179" i="33" s="1"/>
  <c r="CB168" i="3"/>
  <c r="AH179" i="33" s="1"/>
  <c r="AI179" i="33" s="1"/>
  <c r="BZ168" i="3"/>
  <c r="BR168" i="3"/>
  <c r="AA179" i="33" s="1"/>
  <c r="AB179" i="33" s="1"/>
  <c r="AC179" i="33" s="1"/>
  <c r="BP168" i="3"/>
  <c r="BH168" i="3"/>
  <c r="T179" i="33" s="1"/>
  <c r="U179" i="33" s="1"/>
  <c r="BF168" i="3"/>
  <c r="AX168" i="3"/>
  <c r="M179" i="33" s="1"/>
  <c r="N179" i="33" s="1"/>
  <c r="AV168" i="3"/>
  <c r="AO168" i="3"/>
  <c r="CC168" i="3" s="1"/>
  <c r="AN168" i="3"/>
  <c r="BB168" i="3" s="1"/>
  <c r="CK166" i="3"/>
  <c r="CI166" i="3"/>
  <c r="Y177" i="33" s="1"/>
  <c r="Z177" i="33" s="1"/>
  <c r="CG166" i="3"/>
  <c r="R177" i="33" s="1"/>
  <c r="CE166" i="3"/>
  <c r="K177" i="33" s="1"/>
  <c r="CB166" i="3"/>
  <c r="AH177" i="33" s="1"/>
  <c r="AI177" i="33" s="1"/>
  <c r="BZ166" i="3"/>
  <c r="BR166" i="3"/>
  <c r="AA177" i="33" s="1"/>
  <c r="AB177" i="33" s="1"/>
  <c r="AC177" i="33" s="1"/>
  <c r="BP166" i="3"/>
  <c r="BH166" i="3"/>
  <c r="T177" i="33" s="1"/>
  <c r="U177" i="33" s="1"/>
  <c r="BF166" i="3"/>
  <c r="AX166" i="3"/>
  <c r="M177" i="33" s="1"/>
  <c r="N177" i="33" s="1"/>
  <c r="AV166" i="3"/>
  <c r="AO166" i="3"/>
  <c r="AN166" i="3"/>
  <c r="BB166" i="3" s="1"/>
  <c r="AF177" i="33" l="1"/>
  <c r="AF207" i="33"/>
  <c r="BS166" i="3"/>
  <c r="CC188" i="3"/>
  <c r="N181" i="33"/>
  <c r="O181"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AC23" i="3" l="1"/>
  <c r="CL164" i="3" l="1"/>
  <c r="CK164" i="3"/>
  <c r="CJ164" i="3"/>
  <c r="CI164" i="3"/>
  <c r="Y255" i="33" s="1"/>
  <c r="Z255" i="33" s="1"/>
  <c r="CH164" i="3"/>
  <c r="CG164" i="3"/>
  <c r="R255" i="33" s="1"/>
  <c r="S255" i="33" s="1"/>
  <c r="CF164" i="3"/>
  <c r="CE164" i="3"/>
  <c r="K255" i="33" s="1"/>
  <c r="L255" i="33" s="1"/>
  <c r="CB164" i="3"/>
  <c r="AH255" i="33" s="1"/>
  <c r="AI255" i="33" s="1"/>
  <c r="CA164" i="3"/>
  <c r="BZ164" i="3"/>
  <c r="BR164" i="3"/>
  <c r="AA255" i="33" s="1"/>
  <c r="AB255" i="33" s="1"/>
  <c r="AC255" i="33" s="1"/>
  <c r="BQ164" i="3"/>
  <c r="BP164" i="3"/>
  <c r="BH164" i="3"/>
  <c r="T255" i="33" s="1"/>
  <c r="U255" i="33" s="1"/>
  <c r="V255" i="33" s="1"/>
  <c r="BG164" i="3"/>
  <c r="BF164" i="3"/>
  <c r="AX164" i="3"/>
  <c r="AW164" i="3"/>
  <c r="AV164" i="3"/>
  <c r="AO164" i="3"/>
  <c r="CC164" i="3" s="1"/>
  <c r="AN164" i="3"/>
  <c r="AR164" i="3" s="1"/>
  <c r="AF255" i="33" l="1"/>
  <c r="AF205" i="33"/>
  <c r="N205" i="33"/>
  <c r="M255" i="33"/>
  <c r="N255" i="33" s="1"/>
  <c r="O255" i="33" s="1"/>
  <c r="AY164" i="3"/>
  <c r="BI164" i="3"/>
  <c r="BL164" i="3"/>
  <c r="BS164" i="3"/>
  <c r="BV164" i="3"/>
  <c r="BB164" i="3"/>
  <c r="CL120" i="3" l="1"/>
  <c r="CK120" i="3"/>
  <c r="AF279" i="33" s="1"/>
  <c r="CJ120" i="3"/>
  <c r="CI120" i="3"/>
  <c r="Y279" i="33" s="1"/>
  <c r="Z279" i="33" s="1"/>
  <c r="CH120" i="3"/>
  <c r="CG120" i="3"/>
  <c r="R279" i="33" s="1"/>
  <c r="CF120" i="3"/>
  <c r="CE120" i="3"/>
  <c r="K279" i="33" s="1"/>
  <c r="CB120" i="3"/>
  <c r="AH279" i="33" s="1"/>
  <c r="AI279" i="33" s="1"/>
  <c r="CA120" i="3"/>
  <c r="BZ120" i="3"/>
  <c r="CL119" i="3"/>
  <c r="CK119" i="3"/>
  <c r="AF278" i="33" s="1"/>
  <c r="CJ119" i="3"/>
  <c r="CI119" i="3"/>
  <c r="Y278" i="33" s="1"/>
  <c r="Z278" i="33" s="1"/>
  <c r="CH119" i="3"/>
  <c r="CG119" i="3"/>
  <c r="R278" i="33" s="1"/>
  <c r="CF119" i="3"/>
  <c r="CE119" i="3"/>
  <c r="K278" i="33" s="1"/>
  <c r="CB119" i="3"/>
  <c r="AH278" i="33" s="1"/>
  <c r="AI278" i="33" s="1"/>
  <c r="CA119" i="3"/>
  <c r="BZ119" i="3"/>
  <c r="BR120" i="3"/>
  <c r="AA279" i="33" s="1"/>
  <c r="AB279" i="33" s="1"/>
  <c r="AC279" i="33" s="1"/>
  <c r="BQ120" i="3"/>
  <c r="BP120" i="3"/>
  <c r="BR119" i="3"/>
  <c r="AA278" i="33" s="1"/>
  <c r="AB278" i="33" s="1"/>
  <c r="AC278" i="33" s="1"/>
  <c r="BQ119" i="3"/>
  <c r="BP119" i="3"/>
  <c r="AX120" i="3"/>
  <c r="M279" i="33" s="1"/>
  <c r="N279" i="33" s="1"/>
  <c r="AW120" i="3"/>
  <c r="AV120" i="3"/>
  <c r="AX119" i="3"/>
  <c r="M278" i="33" s="1"/>
  <c r="N278" i="33" s="1"/>
  <c r="AW119" i="3"/>
  <c r="AV119" i="3"/>
  <c r="BH120" i="3"/>
  <c r="T279" i="33" s="1"/>
  <c r="U279" i="33" s="1"/>
  <c r="BG120" i="3"/>
  <c r="BF120" i="3"/>
  <c r="BH119" i="3"/>
  <c r="T278" i="33" s="1"/>
  <c r="U278"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AH118" i="33" s="1"/>
  <c r="AI118" i="33" s="1"/>
  <c r="CB114" i="3"/>
  <c r="AH350" i="33" s="1"/>
  <c r="AI350" i="33" s="1"/>
  <c r="CC113" i="3"/>
  <c r="CB113" i="3"/>
  <c r="CA113" i="3"/>
  <c r="BZ113" i="3"/>
  <c r="CL117" i="3"/>
  <c r="CK117" i="3"/>
  <c r="CJ117" i="3"/>
  <c r="Y121" i="33" s="1"/>
  <c r="CI117" i="3"/>
  <c r="Y354" i="33" s="1"/>
  <c r="CH117" i="3"/>
  <c r="CG117" i="3"/>
  <c r="CF117" i="3"/>
  <c r="K121" i="33" s="1"/>
  <c r="CE117" i="3"/>
  <c r="K354" i="33" s="1"/>
  <c r="CL116" i="3"/>
  <c r="CK116" i="3"/>
  <c r="CJ116" i="3"/>
  <c r="Y120" i="33" s="1"/>
  <c r="CI116" i="3"/>
  <c r="Y353" i="33" s="1"/>
  <c r="CH116" i="3"/>
  <c r="CG116" i="3"/>
  <c r="CF116" i="3"/>
  <c r="K120" i="33" s="1"/>
  <c r="CE116" i="3"/>
  <c r="K353" i="33" s="1"/>
  <c r="CK115" i="3"/>
  <c r="CJ115" i="3"/>
  <c r="Y119" i="33" s="1"/>
  <c r="CI115" i="3"/>
  <c r="Y352" i="33" s="1"/>
  <c r="CG115" i="3"/>
  <c r="CF115" i="3"/>
  <c r="K119" i="33" s="1"/>
  <c r="CE115" i="3"/>
  <c r="K352" i="33" s="1"/>
  <c r="CL114" i="3"/>
  <c r="AF118" i="33" s="1"/>
  <c r="AG118" i="33" s="1"/>
  <c r="CK114" i="3"/>
  <c r="AF350" i="33" s="1"/>
  <c r="AG350" i="33" s="1"/>
  <c r="CI114" i="3"/>
  <c r="CH114" i="3"/>
  <c r="R118" i="33" s="1"/>
  <c r="CG114" i="3"/>
  <c r="R350" i="33" s="1"/>
  <c r="CF114" i="3"/>
  <c r="K118" i="33" s="1"/>
  <c r="CE114" i="3"/>
  <c r="CL113" i="3"/>
  <c r="CK113" i="3"/>
  <c r="CI113" i="3"/>
  <c r="CH113" i="3"/>
  <c r="CG113" i="3"/>
  <c r="CF113" i="3"/>
  <c r="CE113" i="3"/>
  <c r="CL94" i="3"/>
  <c r="AF98" i="33" s="1"/>
  <c r="AG98" i="33" s="1"/>
  <c r="CK94" i="3"/>
  <c r="AF331" i="33" s="1"/>
  <c r="AG331" i="33" s="1"/>
  <c r="CJ94" i="3"/>
  <c r="Y98" i="33" s="1"/>
  <c r="Z98" i="33" s="1"/>
  <c r="CI94" i="3"/>
  <c r="Y331" i="33" s="1"/>
  <c r="Z331" i="33" s="1"/>
  <c r="CG94" i="3"/>
  <c r="R331" i="33" s="1"/>
  <c r="S331" i="33" s="1"/>
  <c r="CF94" i="3"/>
  <c r="K98" i="33" s="1"/>
  <c r="CE94" i="3"/>
  <c r="K331" i="33" s="1"/>
  <c r="L331" i="33" s="1"/>
  <c r="C11" i="38" s="1"/>
  <c r="CK93" i="3"/>
  <c r="AF330" i="33" s="1"/>
  <c r="CI93" i="3"/>
  <c r="Y330" i="33" s="1"/>
  <c r="Z330" i="33" s="1"/>
  <c r="CG93" i="3"/>
  <c r="R330" i="33" s="1"/>
  <c r="CF93" i="3"/>
  <c r="CE93" i="3"/>
  <c r="K330" i="33" s="1"/>
  <c r="CK92" i="3"/>
  <c r="AF329" i="33" s="1"/>
  <c r="AG329" i="33" s="1"/>
  <c r="CI92" i="3"/>
  <c r="Y329" i="33" s="1"/>
  <c r="Z329" i="33" s="1"/>
  <c r="CG92" i="3"/>
  <c r="R329" i="33" s="1"/>
  <c r="S329" i="33" s="1"/>
  <c r="CF92" i="3"/>
  <c r="CE92" i="3"/>
  <c r="K329" i="33" s="1"/>
  <c r="L329" i="33" s="1"/>
  <c r="CL91" i="3"/>
  <c r="CK91" i="3"/>
  <c r="AF328" i="33" s="1"/>
  <c r="CJ91" i="3"/>
  <c r="CI91" i="3"/>
  <c r="Y328" i="33" s="1"/>
  <c r="Z328" i="33" s="1"/>
  <c r="CH91" i="3"/>
  <c r="CG91" i="3"/>
  <c r="R328" i="33" s="1"/>
  <c r="CF91" i="3"/>
  <c r="CE91" i="3"/>
  <c r="K328" i="33" s="1"/>
  <c r="CL90" i="3"/>
  <c r="CK90" i="3"/>
  <c r="AF327" i="33" s="1"/>
  <c r="AG327" i="33" s="1"/>
  <c r="CJ90" i="3"/>
  <c r="CI90" i="3"/>
  <c r="Y327" i="33" s="1"/>
  <c r="CH90" i="3"/>
  <c r="CG90" i="3"/>
  <c r="R327" i="33" s="1"/>
  <c r="CF90" i="3"/>
  <c r="CE90" i="3"/>
  <c r="K327" i="33" s="1"/>
  <c r="CL89" i="3"/>
  <c r="CK89" i="3"/>
  <c r="AF326" i="33" s="1"/>
  <c r="AG326" i="33" s="1"/>
  <c r="CJ89" i="3"/>
  <c r="CI89" i="3"/>
  <c r="Y326" i="33" s="1"/>
  <c r="Z326" i="33" s="1"/>
  <c r="CH89" i="3"/>
  <c r="CG89" i="3"/>
  <c r="R326" i="33" s="1"/>
  <c r="CF89" i="3"/>
  <c r="CE89" i="3"/>
  <c r="K326" i="33" s="1"/>
  <c r="CL88" i="3"/>
  <c r="CK88" i="3"/>
  <c r="AF325" i="33" s="1"/>
  <c r="CJ88" i="3"/>
  <c r="CI88" i="3"/>
  <c r="Y325" i="33" s="1"/>
  <c r="Z325" i="33" s="1"/>
  <c r="CH88" i="3"/>
  <c r="CG88" i="3"/>
  <c r="R325" i="33" s="1"/>
  <c r="CF88" i="3"/>
  <c r="CE88" i="3"/>
  <c r="K325" i="33" s="1"/>
  <c r="CL87" i="3"/>
  <c r="CK87" i="3"/>
  <c r="AF324" i="33" s="1"/>
  <c r="CJ87" i="3"/>
  <c r="CI87" i="3"/>
  <c r="Y324" i="33" s="1"/>
  <c r="CH87" i="3"/>
  <c r="CG87" i="3"/>
  <c r="R324" i="33" s="1"/>
  <c r="S324" i="33" s="1"/>
  <c r="CF87" i="3"/>
  <c r="CE87" i="3"/>
  <c r="K324" i="33" s="1"/>
  <c r="CL86" i="3"/>
  <c r="CK86" i="3"/>
  <c r="AF323" i="33" s="1"/>
  <c r="CJ86" i="3"/>
  <c r="CI86" i="3"/>
  <c r="Y323" i="33" s="1"/>
  <c r="Z323" i="33" s="1"/>
  <c r="CH86" i="3"/>
  <c r="CG86" i="3"/>
  <c r="R323" i="33" s="1"/>
  <c r="CF86" i="3"/>
  <c r="CE86" i="3"/>
  <c r="K323" i="33" s="1"/>
  <c r="CK79" i="3"/>
  <c r="AF322" i="33" s="1"/>
  <c r="AG322" i="33" s="1"/>
  <c r="CJ79" i="3"/>
  <c r="Y91" i="33" s="1"/>
  <c r="CI79" i="3"/>
  <c r="Y322" i="33" s="1"/>
  <c r="CH79" i="3"/>
  <c r="R91" i="33" s="1"/>
  <c r="CG79" i="3"/>
  <c r="R322" i="33" s="1"/>
  <c r="CF79" i="3"/>
  <c r="K91" i="33" s="1"/>
  <c r="CE79" i="3"/>
  <c r="K322" i="33" s="1"/>
  <c r="CL78" i="3"/>
  <c r="AF90" i="33" s="1"/>
  <c r="CK78" i="3"/>
  <c r="AF321" i="33" s="1"/>
  <c r="CI78" i="3"/>
  <c r="Y321" i="33" s="1"/>
  <c r="Z321" i="33" s="1"/>
  <c r="CH78" i="3"/>
  <c r="R90" i="33" s="1"/>
  <c r="CG78" i="3"/>
  <c r="R321" i="33" s="1"/>
  <c r="CF78" i="3"/>
  <c r="K90" i="33" s="1"/>
  <c r="CE78" i="3"/>
  <c r="K321" i="33" s="1"/>
  <c r="CL80" i="3"/>
  <c r="AF92" i="33" s="1"/>
  <c r="AG92" i="33" s="1"/>
  <c r="CK80" i="3"/>
  <c r="AF315" i="33" s="1"/>
  <c r="AG315" i="33" s="1"/>
  <c r="CJ80" i="3"/>
  <c r="Y92" i="33" s="1"/>
  <c r="Z92" i="33" s="1"/>
  <c r="CI80" i="3"/>
  <c r="Y315" i="33" s="1"/>
  <c r="Z315" i="33" s="1"/>
  <c r="CG80" i="3"/>
  <c r="R315" i="33" s="1"/>
  <c r="S315" i="33" s="1"/>
  <c r="CF80" i="3"/>
  <c r="K92" i="33" s="1"/>
  <c r="CE80" i="3"/>
  <c r="K315" i="33" s="1"/>
  <c r="CL77" i="3"/>
  <c r="AF89" i="33" s="1"/>
  <c r="CK77" i="3"/>
  <c r="AF314" i="33" s="1"/>
  <c r="CI77" i="3"/>
  <c r="Y314" i="33" s="1"/>
  <c r="Z314" i="33" s="1"/>
  <c r="CH77" i="3"/>
  <c r="R89" i="33" s="1"/>
  <c r="CG77" i="3"/>
  <c r="R314" i="33" s="1"/>
  <c r="CF77" i="3"/>
  <c r="K89" i="33" s="1"/>
  <c r="CE77" i="3"/>
  <c r="K314" i="33" s="1"/>
  <c r="BW115" i="3"/>
  <c r="CL115" i="3" s="1"/>
  <c r="BR117" i="3"/>
  <c r="BQ117" i="3"/>
  <c r="BP117" i="3"/>
  <c r="BR116" i="3"/>
  <c r="BQ116" i="3"/>
  <c r="BP116" i="3"/>
  <c r="BS115" i="3"/>
  <c r="AC119" i="33" s="1"/>
  <c r="BR115" i="3"/>
  <c r="AC352" i="33" s="1"/>
  <c r="BQ115" i="3"/>
  <c r="BP115" i="3"/>
  <c r="BS114" i="3"/>
  <c r="AA118" i="33" s="1"/>
  <c r="AB118" i="33" s="1"/>
  <c r="AC118" i="33" s="1"/>
  <c r="BR114" i="3"/>
  <c r="AA350" i="33" s="1"/>
  <c r="AB350" i="33" s="1"/>
  <c r="AC350" i="33" s="1"/>
  <c r="BP114" i="3"/>
  <c r="BS113" i="3"/>
  <c r="BR113" i="3"/>
  <c r="BP113" i="3"/>
  <c r="BM114" i="3"/>
  <c r="BQ114" i="3" s="1"/>
  <c r="X118" i="33" s="1"/>
  <c r="BM113" i="3"/>
  <c r="BH117" i="3"/>
  <c r="BG117" i="3"/>
  <c r="BF117" i="3"/>
  <c r="BH116" i="3"/>
  <c r="BG116" i="3"/>
  <c r="BF116" i="3"/>
  <c r="BI115" i="3"/>
  <c r="V119" i="33" s="1"/>
  <c r="BH115" i="3"/>
  <c r="V352" i="33" s="1"/>
  <c r="BF115" i="3"/>
  <c r="BI114" i="3"/>
  <c r="BH114" i="3"/>
  <c r="T350" i="33" s="1"/>
  <c r="U350" i="33" s="1"/>
  <c r="BG114" i="3"/>
  <c r="Q118" i="33" s="1"/>
  <c r="BF114" i="3"/>
  <c r="BI113" i="3"/>
  <c r="BH113" i="3"/>
  <c r="BG113" i="3"/>
  <c r="BF113" i="3"/>
  <c r="BC115" i="3"/>
  <c r="AX117" i="3"/>
  <c r="M354" i="33" s="1"/>
  <c r="N354" i="33" s="1"/>
  <c r="AW117" i="3"/>
  <c r="J121" i="33" s="1"/>
  <c r="AV117" i="3"/>
  <c r="AX116" i="3"/>
  <c r="M353" i="33" s="1"/>
  <c r="N353" i="33" s="1"/>
  <c r="AW116" i="3"/>
  <c r="J120" i="33" s="1"/>
  <c r="AV116" i="3"/>
  <c r="AY115" i="3"/>
  <c r="M119" i="33" s="1"/>
  <c r="N119" i="33" s="1"/>
  <c r="AX115" i="3"/>
  <c r="M352" i="33" s="1"/>
  <c r="N352" i="33" s="1"/>
  <c r="AW115" i="3"/>
  <c r="J119" i="33" s="1"/>
  <c r="AV115" i="3"/>
  <c r="AY114" i="3"/>
  <c r="AX114" i="3"/>
  <c r="AW114" i="3"/>
  <c r="J118" i="33" s="1"/>
  <c r="AV114" i="3"/>
  <c r="AY113" i="3"/>
  <c r="AX113" i="3"/>
  <c r="AW113" i="3"/>
  <c r="AV113" i="3"/>
  <c r="AN115" i="3"/>
  <c r="BV115" i="3" s="1"/>
  <c r="AN114" i="3"/>
  <c r="BV114" i="3" s="1"/>
  <c r="AX93" i="3"/>
  <c r="M330" i="33" s="1"/>
  <c r="N330" i="33" s="1"/>
  <c r="AW93" i="3"/>
  <c r="AV93" i="3"/>
  <c r="AX92" i="3"/>
  <c r="M329" i="33" s="1"/>
  <c r="AW92" i="3"/>
  <c r="AV92" i="3"/>
  <c r="AX91" i="3"/>
  <c r="M328" i="33" s="1"/>
  <c r="N328" i="33" s="1"/>
  <c r="AW91" i="3"/>
  <c r="AV91" i="3"/>
  <c r="AX90" i="3"/>
  <c r="M327" i="33" s="1"/>
  <c r="N327" i="33" s="1"/>
  <c r="AW90" i="3"/>
  <c r="AV90" i="3"/>
  <c r="AX89" i="3"/>
  <c r="M326" i="33" s="1"/>
  <c r="N326" i="33" s="1"/>
  <c r="AW89" i="3"/>
  <c r="AV89" i="3"/>
  <c r="AX88" i="3"/>
  <c r="M325" i="33" s="1"/>
  <c r="N325" i="33" s="1"/>
  <c r="AW88" i="3"/>
  <c r="AV88" i="3"/>
  <c r="AX87" i="3"/>
  <c r="M324" i="33" s="1"/>
  <c r="N324" i="33" s="1"/>
  <c r="AW87" i="3"/>
  <c r="AV87" i="3"/>
  <c r="AX86" i="3"/>
  <c r="M323" i="33" s="1"/>
  <c r="N323" i="33" s="1"/>
  <c r="AW86" i="3"/>
  <c r="AV86" i="3"/>
  <c r="AX79" i="3"/>
  <c r="M322" i="33" s="1"/>
  <c r="N322" i="33" s="1"/>
  <c r="AW79" i="3"/>
  <c r="J91" i="33" s="1"/>
  <c r="AV79" i="3"/>
  <c r="AX78" i="3"/>
  <c r="M321" i="33" s="1"/>
  <c r="N321" i="33" s="1"/>
  <c r="AW78" i="3"/>
  <c r="J90" i="33" s="1"/>
  <c r="AV78" i="3"/>
  <c r="AX80" i="3"/>
  <c r="M315" i="33" s="1"/>
  <c r="N315" i="33" s="1"/>
  <c r="J92" i="33"/>
  <c r="AV80" i="3"/>
  <c r="AX77" i="3"/>
  <c r="M314" i="33" s="1"/>
  <c r="N314" i="33" s="1"/>
  <c r="AW77" i="3"/>
  <c r="J89" i="33" s="1"/>
  <c r="AV77" i="3"/>
  <c r="AO93" i="3"/>
  <c r="BW93" i="3" s="1"/>
  <c r="CA93" i="3" s="1"/>
  <c r="AO92" i="3"/>
  <c r="BS92" i="3" s="1"/>
  <c r="AO91" i="3"/>
  <c r="BS91" i="3" s="1"/>
  <c r="AO90" i="3"/>
  <c r="AY90" i="3" s="1"/>
  <c r="AO89" i="3"/>
  <c r="CC89" i="3" s="1"/>
  <c r="AO88" i="3"/>
  <c r="AY88" i="3" s="1"/>
  <c r="AO87" i="3"/>
  <c r="BS87" i="3" s="1"/>
  <c r="AO86" i="3"/>
  <c r="BS86" i="3" s="1"/>
  <c r="AO79" i="3"/>
  <c r="AY79" i="3" s="1"/>
  <c r="AO78" i="3"/>
  <c r="BM78" i="3" s="1"/>
  <c r="BS80" i="3"/>
  <c r="AA92" i="33" s="1"/>
  <c r="AB92" i="33" s="1"/>
  <c r="AC92" i="33" s="1"/>
  <c r="AO77" i="3"/>
  <c r="BM77" i="3" s="1"/>
  <c r="CB93" i="3"/>
  <c r="AH330" i="33" s="1"/>
  <c r="AI330" i="33" s="1"/>
  <c r="BZ93" i="3"/>
  <c r="BR93" i="3"/>
  <c r="AA330" i="33" s="1"/>
  <c r="AB330" i="33" s="1"/>
  <c r="AC330" i="33" s="1"/>
  <c r="BP93" i="3"/>
  <c r="BH93" i="3"/>
  <c r="T330" i="33" s="1"/>
  <c r="U330" i="33" s="1"/>
  <c r="BF93" i="3"/>
  <c r="CB92" i="3"/>
  <c r="AH329" i="33" s="1"/>
  <c r="AI329" i="33" s="1"/>
  <c r="BZ92" i="3"/>
  <c r="BR92" i="3"/>
  <c r="AA329" i="33" s="1"/>
  <c r="AB329" i="33" s="1"/>
  <c r="AC329" i="33" s="1"/>
  <c r="BP92" i="3"/>
  <c r="BH92" i="3"/>
  <c r="T329" i="33" s="1"/>
  <c r="U329" i="33" s="1"/>
  <c r="V329" i="33" s="1"/>
  <c r="BF92" i="3"/>
  <c r="CB91" i="3"/>
  <c r="AH328" i="33" s="1"/>
  <c r="AI328" i="33" s="1"/>
  <c r="BZ91" i="3"/>
  <c r="CA91" i="3"/>
  <c r="BR91" i="3"/>
  <c r="AA328" i="33" s="1"/>
  <c r="AB328" i="33" s="1"/>
  <c r="AC328" i="33" s="1"/>
  <c r="BP91" i="3"/>
  <c r="BQ91" i="3"/>
  <c r="BH91" i="3"/>
  <c r="T328" i="33" s="1"/>
  <c r="U328" i="33" s="1"/>
  <c r="BG91" i="3"/>
  <c r="BF91" i="3"/>
  <c r="CB90" i="3"/>
  <c r="AH327" i="33" s="1"/>
  <c r="AI327" i="33" s="1"/>
  <c r="BZ90" i="3"/>
  <c r="CA90" i="3"/>
  <c r="BR90" i="3"/>
  <c r="AA327" i="33" s="1"/>
  <c r="AB327" i="33" s="1"/>
  <c r="BP90" i="3"/>
  <c r="BQ90" i="3"/>
  <c r="BH90" i="3"/>
  <c r="T327" i="33" s="1"/>
  <c r="U327" i="33" s="1"/>
  <c r="BF90" i="3"/>
  <c r="BG90" i="3"/>
  <c r="CB89" i="3"/>
  <c r="AH326" i="33" s="1"/>
  <c r="AI326" i="33" s="1"/>
  <c r="BZ89" i="3"/>
  <c r="CA89" i="3"/>
  <c r="BR89" i="3"/>
  <c r="AA326" i="33" s="1"/>
  <c r="AB326" i="33" s="1"/>
  <c r="AC326" i="33" s="1"/>
  <c r="BQ89" i="3"/>
  <c r="BH89" i="3"/>
  <c r="T326" i="33" s="1"/>
  <c r="U326" i="33" s="1"/>
  <c r="BF89" i="3"/>
  <c r="BG89" i="3"/>
  <c r="CB88" i="3"/>
  <c r="AH325" i="33" s="1"/>
  <c r="AI325" i="33" s="1"/>
  <c r="BZ88" i="3"/>
  <c r="CA88" i="3"/>
  <c r="BR88" i="3"/>
  <c r="AA325" i="33" s="1"/>
  <c r="AB325" i="33" s="1"/>
  <c r="AC325" i="33" s="1"/>
  <c r="BP88" i="3"/>
  <c r="BQ88" i="3"/>
  <c r="BH88" i="3"/>
  <c r="T325" i="33" s="1"/>
  <c r="U325" i="33" s="1"/>
  <c r="BF88" i="3"/>
  <c r="BG88" i="3"/>
  <c r="CB87" i="3"/>
  <c r="AH324" i="33" s="1"/>
  <c r="AI324" i="33" s="1"/>
  <c r="BZ87" i="3"/>
  <c r="CA87" i="3"/>
  <c r="BR87" i="3"/>
  <c r="AA324" i="33" s="1"/>
  <c r="AB324" i="33" s="1"/>
  <c r="AC324" i="33" s="1"/>
  <c r="BP87" i="3"/>
  <c r="BQ87" i="3"/>
  <c r="BH87" i="3"/>
  <c r="T324" i="33" s="1"/>
  <c r="U324" i="33" s="1"/>
  <c r="V324" i="33" s="1"/>
  <c r="BG87" i="3"/>
  <c r="BF87" i="3"/>
  <c r="CB86" i="3"/>
  <c r="AH323" i="33" s="1"/>
  <c r="AI323" i="33" s="1"/>
  <c r="BZ86" i="3"/>
  <c r="CA86" i="3"/>
  <c r="BR86" i="3"/>
  <c r="AA323" i="33" s="1"/>
  <c r="AB323" i="33" s="1"/>
  <c r="AC323" i="33" s="1"/>
  <c r="BP86" i="3"/>
  <c r="BQ86" i="3"/>
  <c r="BH86" i="3"/>
  <c r="T323" i="33" s="1"/>
  <c r="U323" i="33" s="1"/>
  <c r="BG86" i="3"/>
  <c r="BF86" i="3"/>
  <c r="CB79" i="3"/>
  <c r="AH322" i="33" s="1"/>
  <c r="BZ79" i="3"/>
  <c r="BR79" i="3"/>
  <c r="AA322" i="33" s="1"/>
  <c r="AB322" i="33" s="1"/>
  <c r="BP79" i="3"/>
  <c r="BQ79" i="3"/>
  <c r="BH79" i="3"/>
  <c r="T322" i="33" s="1"/>
  <c r="U322" i="33" s="1"/>
  <c r="BF79" i="3"/>
  <c r="BG79" i="3"/>
  <c r="CB78" i="3"/>
  <c r="AH321" i="33" s="1"/>
  <c r="AI321" i="33" s="1"/>
  <c r="BZ78" i="3"/>
  <c r="CA78" i="3"/>
  <c r="BR78" i="3"/>
  <c r="AA321" i="33" s="1"/>
  <c r="AB321" i="33" s="1"/>
  <c r="AC321" i="33" s="1"/>
  <c r="BP78" i="3"/>
  <c r="BH78" i="3"/>
  <c r="T321" i="33" s="1"/>
  <c r="U321" i="33" s="1"/>
  <c r="BF78" i="3"/>
  <c r="BG78" i="3"/>
  <c r="CB80" i="3"/>
  <c r="AH315" i="33" s="1"/>
  <c r="AI315" i="33" s="1"/>
  <c r="BZ80" i="3"/>
  <c r="CA80" i="3"/>
  <c r="AE92" i="33" s="1"/>
  <c r="BR80" i="3"/>
  <c r="AA315" i="33" s="1"/>
  <c r="AB315" i="33" s="1"/>
  <c r="AC315" i="33" s="1"/>
  <c r="BP80" i="3"/>
  <c r="BQ80" i="3"/>
  <c r="X92" i="33" s="1"/>
  <c r="BH80" i="3"/>
  <c r="T315" i="33" s="1"/>
  <c r="U315" i="33" s="1"/>
  <c r="V315" i="33" s="1"/>
  <c r="BF80" i="3"/>
  <c r="CB77" i="3"/>
  <c r="AH314" i="33" s="1"/>
  <c r="AI314" i="33" s="1"/>
  <c r="BZ77" i="3"/>
  <c r="CA77" i="3"/>
  <c r="BR77" i="3"/>
  <c r="AA314" i="33" s="1"/>
  <c r="AB314" i="33" s="1"/>
  <c r="AC314" i="33" s="1"/>
  <c r="BP77" i="3"/>
  <c r="BH77" i="3"/>
  <c r="T314" i="33" s="1"/>
  <c r="U314" i="33" s="1"/>
  <c r="BF77" i="3"/>
  <c r="BG77" i="3"/>
  <c r="AN92" i="3"/>
  <c r="BV92" i="3" s="1"/>
  <c r="AN79" i="3"/>
  <c r="BL79" i="3" s="1"/>
  <c r="AN78" i="3"/>
  <c r="BL78" i="3" s="1"/>
  <c r="BV80" i="3"/>
  <c r="AN77" i="3"/>
  <c r="BV77" i="3" s="1"/>
  <c r="CK75" i="3"/>
  <c r="AF312" i="33" s="1"/>
  <c r="CJ75" i="3"/>
  <c r="Y87" i="33" s="1"/>
  <c r="CI75" i="3"/>
  <c r="Y312" i="33" s="1"/>
  <c r="CH75" i="3"/>
  <c r="R87" i="33" s="1"/>
  <c r="CG75" i="3"/>
  <c r="R312" i="33" s="1"/>
  <c r="CF75" i="3"/>
  <c r="K87" i="33" s="1"/>
  <c r="CE75" i="3"/>
  <c r="K312" i="33" s="1"/>
  <c r="CB75" i="3"/>
  <c r="AH312" i="33" s="1"/>
  <c r="BZ75" i="3"/>
  <c r="BR75" i="3"/>
  <c r="AA312" i="33" s="1"/>
  <c r="AB312" i="33" s="1"/>
  <c r="BQ75" i="3"/>
  <c r="X87" i="33" s="1"/>
  <c r="BP75" i="3"/>
  <c r="BH75" i="3"/>
  <c r="T312" i="33" s="1"/>
  <c r="U312" i="33" s="1"/>
  <c r="BG75" i="3"/>
  <c r="Q87" i="33" s="1"/>
  <c r="BF75" i="3"/>
  <c r="AX75" i="3"/>
  <c r="M312" i="33" s="1"/>
  <c r="N312" i="33" s="1"/>
  <c r="AW75" i="3"/>
  <c r="J87" i="33" s="1"/>
  <c r="AV75" i="3"/>
  <c r="CK74" i="3"/>
  <c r="AF276" i="33" s="1"/>
  <c r="CI74" i="3"/>
  <c r="Y276" i="33" s="1"/>
  <c r="Z276" i="33" s="1"/>
  <c r="CH74" i="3"/>
  <c r="R86" i="33" s="1"/>
  <c r="CG74" i="3"/>
  <c r="R276" i="33" s="1"/>
  <c r="CF74" i="3"/>
  <c r="K86" i="33" s="1"/>
  <c r="CE74" i="3"/>
  <c r="K276" i="33" s="1"/>
  <c r="CB74" i="3"/>
  <c r="AH276" i="33" s="1"/>
  <c r="AI276" i="33" s="1"/>
  <c r="CA74" i="3"/>
  <c r="AE86" i="33" s="1"/>
  <c r="BZ74" i="3"/>
  <c r="CL74" i="3"/>
  <c r="AF86" i="33" s="1"/>
  <c r="BR74" i="3"/>
  <c r="AA276" i="33" s="1"/>
  <c r="AB276" i="33" s="1"/>
  <c r="AC276" i="33" s="1"/>
  <c r="BP74" i="3"/>
  <c r="BH74" i="3"/>
  <c r="T276" i="33" s="1"/>
  <c r="U276" i="33" s="1"/>
  <c r="BG74" i="3"/>
  <c r="Q86" i="33" s="1"/>
  <c r="BF74" i="3"/>
  <c r="AX74" i="3"/>
  <c r="M276" i="33" s="1"/>
  <c r="N276" i="33" s="1"/>
  <c r="AW74" i="3"/>
  <c r="J86" i="33" s="1"/>
  <c r="AV74" i="3"/>
  <c r="AO75" i="3"/>
  <c r="BI75" i="3" s="1"/>
  <c r="U87" i="33" s="1"/>
  <c r="AN75" i="3"/>
  <c r="AR75" i="3" s="1"/>
  <c r="AO74" i="3"/>
  <c r="AY74" i="3" s="1"/>
  <c r="AN74" i="3"/>
  <c r="BL74" i="3" s="1"/>
  <c r="CK73" i="3"/>
  <c r="CJ73" i="3"/>
  <c r="Y85" i="33" s="1"/>
  <c r="CI73" i="3"/>
  <c r="Y275" i="33" s="1"/>
  <c r="CH73" i="3"/>
  <c r="R85" i="33" s="1"/>
  <c r="CG73" i="3"/>
  <c r="R275" i="33" s="1"/>
  <c r="CF73" i="3"/>
  <c r="K85" i="33" s="1"/>
  <c r="CE73" i="3"/>
  <c r="K275" i="33" s="1"/>
  <c r="CB73" i="3"/>
  <c r="BZ73" i="3"/>
  <c r="BR73" i="3"/>
  <c r="BQ73" i="3"/>
  <c r="BP73" i="3"/>
  <c r="BH73" i="3"/>
  <c r="BG73" i="3"/>
  <c r="BF73" i="3"/>
  <c r="AX73" i="3"/>
  <c r="M275" i="33" s="1"/>
  <c r="N275" i="33" s="1"/>
  <c r="AW73" i="3"/>
  <c r="J85" i="33" s="1"/>
  <c r="AV73" i="3"/>
  <c r="AO73" i="3"/>
  <c r="BW73" i="3" s="1"/>
  <c r="AN73" i="3"/>
  <c r="BL73" i="3" s="1"/>
  <c r="BW56" i="3"/>
  <c r="CA56" i="3" s="1"/>
  <c r="AE68" i="33" s="1"/>
  <c r="BM56" i="3"/>
  <c r="BC56" i="3"/>
  <c r="CK68" i="3"/>
  <c r="CI68" i="3"/>
  <c r="Y270" i="33" s="1"/>
  <c r="Z270" i="33" s="1"/>
  <c r="CG68" i="3"/>
  <c r="R270" i="33" s="1"/>
  <c r="S270" i="33" s="1"/>
  <c r="CE68" i="3"/>
  <c r="K270" i="33" s="1"/>
  <c r="L270" i="33" s="1"/>
  <c r="BZ68" i="3"/>
  <c r="BR68" i="3"/>
  <c r="AA270" i="33" s="1"/>
  <c r="AB270" i="33" s="1"/>
  <c r="AC270" i="33" s="1"/>
  <c r="BP68" i="3"/>
  <c r="BH68" i="3"/>
  <c r="T270" i="33" s="1"/>
  <c r="U270" i="33" s="1"/>
  <c r="V270" i="33" s="1"/>
  <c r="BF68" i="3"/>
  <c r="AX68" i="3"/>
  <c r="M270" i="33" s="1"/>
  <c r="AV68" i="3"/>
  <c r="CK72" i="3"/>
  <c r="CI72" i="3"/>
  <c r="Y274" i="33" s="1"/>
  <c r="CG72" i="3"/>
  <c r="R274" i="33" s="1"/>
  <c r="CE72" i="3"/>
  <c r="K274" i="33" s="1"/>
  <c r="CB72" i="3"/>
  <c r="BZ72" i="3"/>
  <c r="BR72" i="3"/>
  <c r="BP72" i="3"/>
  <c r="BH72" i="3"/>
  <c r="BF72" i="3"/>
  <c r="AX72" i="3"/>
  <c r="M274" i="33" s="1"/>
  <c r="N274" i="33" s="1"/>
  <c r="AV72" i="3"/>
  <c r="CK71" i="3"/>
  <c r="CI71" i="3"/>
  <c r="Y273" i="33" s="1"/>
  <c r="CG71" i="3"/>
  <c r="R273" i="33" s="1"/>
  <c r="CE71" i="3"/>
  <c r="K273" i="33" s="1"/>
  <c r="CB71" i="3"/>
  <c r="BZ71" i="3"/>
  <c r="BR71" i="3"/>
  <c r="BP71" i="3"/>
  <c r="BH71" i="3"/>
  <c r="BF71" i="3"/>
  <c r="AX71" i="3"/>
  <c r="M273" i="33" s="1"/>
  <c r="N273" i="33" s="1"/>
  <c r="AV71" i="3"/>
  <c r="CK70" i="3"/>
  <c r="CI70" i="3"/>
  <c r="Y272" i="33" s="1"/>
  <c r="CG70" i="3"/>
  <c r="CE70" i="3"/>
  <c r="K272" i="33" s="1"/>
  <c r="CB70" i="3"/>
  <c r="BZ70" i="3"/>
  <c r="BR70" i="3"/>
  <c r="AC272" i="33" s="1"/>
  <c r="BP70" i="3"/>
  <c r="BH70" i="3"/>
  <c r="V272" i="33" s="1"/>
  <c r="BF70" i="3"/>
  <c r="AX70" i="3"/>
  <c r="M272" i="33" s="1"/>
  <c r="N272" i="33" s="1"/>
  <c r="AV70" i="3"/>
  <c r="CK69" i="3"/>
  <c r="AF271" i="33" s="1"/>
  <c r="AG271" i="33" s="1"/>
  <c r="CI69" i="3"/>
  <c r="Y271" i="33" s="1"/>
  <c r="Z271" i="33" s="1"/>
  <c r="CG69" i="3"/>
  <c r="R271" i="33" s="1"/>
  <c r="S271" i="33" s="1"/>
  <c r="CE69" i="3"/>
  <c r="K271" i="33" s="1"/>
  <c r="L271" i="33" s="1"/>
  <c r="CB69" i="3"/>
  <c r="AH271" i="33" s="1"/>
  <c r="AI271" i="33" s="1"/>
  <c r="BZ69" i="3"/>
  <c r="BR69" i="3"/>
  <c r="AA271" i="33" s="1"/>
  <c r="AB271" i="33" s="1"/>
  <c r="AC271" i="33" s="1"/>
  <c r="BP69" i="3"/>
  <c r="BH69" i="3"/>
  <c r="T271" i="33" s="1"/>
  <c r="U271" i="33" s="1"/>
  <c r="V271" i="33" s="1"/>
  <c r="BF69" i="3"/>
  <c r="AX69" i="3"/>
  <c r="M271" i="33" s="1"/>
  <c r="AV69" i="3"/>
  <c r="CK67" i="3"/>
  <c r="CI67" i="3"/>
  <c r="Y269" i="33" s="1"/>
  <c r="CG67" i="3"/>
  <c r="CE67" i="3"/>
  <c r="K269" i="33" s="1"/>
  <c r="CB67" i="3"/>
  <c r="BZ67" i="3"/>
  <c r="BR67" i="3"/>
  <c r="BP67" i="3"/>
  <c r="BH67" i="3"/>
  <c r="BF67" i="3"/>
  <c r="AX67" i="3"/>
  <c r="M269" i="33" s="1"/>
  <c r="N269" i="33" s="1"/>
  <c r="AV67" i="3"/>
  <c r="CK66" i="3"/>
  <c r="AF268" i="33" s="1"/>
  <c r="CI66" i="3"/>
  <c r="Y268" i="33" s="1"/>
  <c r="CG66" i="3"/>
  <c r="CE66" i="3"/>
  <c r="K268" i="33" s="1"/>
  <c r="CB66" i="3"/>
  <c r="BZ66" i="3"/>
  <c r="BR66" i="3"/>
  <c r="AC268" i="33" s="1"/>
  <c r="BP66" i="3"/>
  <c r="BH66" i="3"/>
  <c r="V268" i="33" s="1"/>
  <c r="BF66" i="3"/>
  <c r="AX66" i="3"/>
  <c r="M268" i="33" s="1"/>
  <c r="N268" i="33" s="1"/>
  <c r="AV66" i="3"/>
  <c r="CK65" i="3"/>
  <c r="CI65" i="3"/>
  <c r="Y311" i="33" s="1"/>
  <c r="CG65" i="3"/>
  <c r="CE65" i="3"/>
  <c r="K311" i="33" s="1"/>
  <c r="L311" i="33" s="1"/>
  <c r="CB65" i="3"/>
  <c r="AH311" i="33" s="1"/>
  <c r="AI311" i="33" s="1"/>
  <c r="BZ65" i="3"/>
  <c r="BR65" i="3"/>
  <c r="AA311" i="33" s="1"/>
  <c r="AB311" i="33" s="1"/>
  <c r="AC311" i="33" s="1"/>
  <c r="BP65" i="3"/>
  <c r="BH65" i="3"/>
  <c r="T311" i="33" s="1"/>
  <c r="U311" i="33" s="1"/>
  <c r="V311" i="33" s="1"/>
  <c r="BF65" i="3"/>
  <c r="AX65" i="3"/>
  <c r="M311" i="33" s="1"/>
  <c r="N311" i="33" s="1"/>
  <c r="O311" i="33" s="1"/>
  <c r="AV65" i="3"/>
  <c r="CK64" i="3"/>
  <c r="AF183" i="33" s="1"/>
  <c r="AG183" i="33" s="1"/>
  <c r="CI64" i="3"/>
  <c r="Y183" i="33" s="1"/>
  <c r="CG64" i="3"/>
  <c r="R183" i="33" s="1"/>
  <c r="CE64" i="3"/>
  <c r="K183" i="33" s="1"/>
  <c r="CB64" i="3"/>
  <c r="AH183" i="33" s="1"/>
  <c r="AI183" i="33" s="1"/>
  <c r="BZ64" i="3"/>
  <c r="BR64" i="3"/>
  <c r="AA183" i="33" s="1"/>
  <c r="AB183" i="33" s="1"/>
  <c r="BP64" i="3"/>
  <c r="BH64" i="3"/>
  <c r="T183" i="33" s="1"/>
  <c r="U183" i="33" s="1"/>
  <c r="BF64" i="3"/>
  <c r="AX64" i="3"/>
  <c r="M183" i="33" s="1"/>
  <c r="N183" i="33" s="1"/>
  <c r="AV64" i="3"/>
  <c r="CK63" i="3"/>
  <c r="AF310" i="33" s="1"/>
  <c r="CI63" i="3"/>
  <c r="Y310" i="33" s="1"/>
  <c r="CG63" i="3"/>
  <c r="R310" i="33" s="1"/>
  <c r="CE63" i="3"/>
  <c r="K310" i="33" s="1"/>
  <c r="L310" i="33" s="1"/>
  <c r="CB63" i="3"/>
  <c r="AH310" i="33" s="1"/>
  <c r="AI310" i="33" s="1"/>
  <c r="BZ63" i="3"/>
  <c r="BR63" i="3"/>
  <c r="AA310" i="33" s="1"/>
  <c r="AB310" i="33" s="1"/>
  <c r="AC310" i="33" s="1"/>
  <c r="BP63" i="3"/>
  <c r="BH63" i="3"/>
  <c r="T310" i="33" s="1"/>
  <c r="U310" i="33" s="1"/>
  <c r="V310" i="33" s="1"/>
  <c r="BF63" i="3"/>
  <c r="AX63" i="3"/>
  <c r="M310" i="33" s="1"/>
  <c r="AV63" i="3"/>
  <c r="CK62" i="3"/>
  <c r="AF267" i="33" s="1"/>
  <c r="CI62" i="3"/>
  <c r="Y267" i="33" s="1"/>
  <c r="Z267" i="33" s="1"/>
  <c r="CG62" i="3"/>
  <c r="R267" i="33" s="1"/>
  <c r="CE62" i="3"/>
  <c r="K267" i="33" s="1"/>
  <c r="CB62" i="3"/>
  <c r="AH267" i="33" s="1"/>
  <c r="AI267" i="33" s="1"/>
  <c r="BZ62" i="3"/>
  <c r="BR62" i="3"/>
  <c r="AA267" i="33" s="1"/>
  <c r="AB267" i="33" s="1"/>
  <c r="AC267" i="33" s="1"/>
  <c r="BP62" i="3"/>
  <c r="BH62" i="3"/>
  <c r="BF62" i="3"/>
  <c r="AX62" i="3"/>
  <c r="AV62" i="3"/>
  <c r="CK61" i="3"/>
  <c r="AF266" i="33" s="1"/>
  <c r="CI61" i="3"/>
  <c r="Y266" i="33" s="1"/>
  <c r="Z266" i="33" s="1"/>
  <c r="CG61" i="3"/>
  <c r="R266" i="33" s="1"/>
  <c r="CE61" i="3"/>
  <c r="K266" i="33" s="1"/>
  <c r="CB61" i="3"/>
  <c r="AH266" i="33" s="1"/>
  <c r="AI266" i="33" s="1"/>
  <c r="BZ61" i="3"/>
  <c r="BR61" i="3"/>
  <c r="AA266" i="33" s="1"/>
  <c r="AB266" i="33" s="1"/>
  <c r="AC266" i="33" s="1"/>
  <c r="BP61" i="3"/>
  <c r="BH61" i="3"/>
  <c r="T266" i="33" s="1"/>
  <c r="U266" i="33" s="1"/>
  <c r="BF61" i="3"/>
  <c r="AX61" i="3"/>
  <c r="AV61" i="3"/>
  <c r="CK60" i="3"/>
  <c r="AF265" i="33" s="1"/>
  <c r="CI60" i="3"/>
  <c r="Y265" i="33" s="1"/>
  <c r="Z265" i="33" s="1"/>
  <c r="CG60" i="3"/>
  <c r="R265" i="33" s="1"/>
  <c r="CE60" i="3"/>
  <c r="K265" i="33" s="1"/>
  <c r="CB60" i="3"/>
  <c r="AH265" i="33" s="1"/>
  <c r="AI265" i="33" s="1"/>
  <c r="BZ60" i="3"/>
  <c r="BR60" i="3"/>
  <c r="AA265" i="33" s="1"/>
  <c r="AB265" i="33" s="1"/>
  <c r="AC265" i="33" s="1"/>
  <c r="BP60" i="3"/>
  <c r="BH60" i="3"/>
  <c r="T265" i="33" s="1"/>
  <c r="U265" i="33" s="1"/>
  <c r="BF60" i="3"/>
  <c r="AX60" i="3"/>
  <c r="M265" i="33" s="1"/>
  <c r="AV60" i="3"/>
  <c r="CK59" i="3"/>
  <c r="AF264" i="33" s="1"/>
  <c r="CI59" i="3"/>
  <c r="Y264" i="33" s="1"/>
  <c r="Z264" i="33" s="1"/>
  <c r="CG59" i="3"/>
  <c r="R264" i="33" s="1"/>
  <c r="CE59" i="3"/>
  <c r="K264" i="33" s="1"/>
  <c r="CB59" i="3"/>
  <c r="AH264" i="33" s="1"/>
  <c r="AI264" i="33" s="1"/>
  <c r="BZ59" i="3"/>
  <c r="BR59" i="3"/>
  <c r="AA264" i="33" s="1"/>
  <c r="AB264" i="33" s="1"/>
  <c r="AC264" i="33" s="1"/>
  <c r="BP59" i="3"/>
  <c r="BH59" i="3"/>
  <c r="T264" i="33" s="1"/>
  <c r="U264" i="33" s="1"/>
  <c r="BF59" i="3"/>
  <c r="AX59" i="3"/>
  <c r="M264" i="33" s="1"/>
  <c r="AV59" i="3"/>
  <c r="CK58" i="3"/>
  <c r="AF263" i="33" s="1"/>
  <c r="CI58" i="3"/>
  <c r="Y263" i="33" s="1"/>
  <c r="Z263" i="33" s="1"/>
  <c r="CG58" i="3"/>
  <c r="R263" i="33" s="1"/>
  <c r="CE58" i="3"/>
  <c r="K263" i="33" s="1"/>
  <c r="CB58" i="3"/>
  <c r="AH263" i="33" s="1"/>
  <c r="AI263" i="33" s="1"/>
  <c r="BZ58" i="3"/>
  <c r="BR58" i="3"/>
  <c r="AA263" i="33" s="1"/>
  <c r="AB263" i="33" s="1"/>
  <c r="AC263" i="33" s="1"/>
  <c r="BP58" i="3"/>
  <c r="BH58" i="3"/>
  <c r="T263" i="33" s="1"/>
  <c r="U263" i="33" s="1"/>
  <c r="BF58" i="3"/>
  <c r="AX58" i="3"/>
  <c r="M263" i="33" s="1"/>
  <c r="AV58" i="3"/>
  <c r="CK57" i="3"/>
  <c r="AF262" i="33" s="1"/>
  <c r="CI57" i="3"/>
  <c r="Y262" i="33" s="1"/>
  <c r="CG57" i="3"/>
  <c r="R262" i="33" s="1"/>
  <c r="CE57" i="3"/>
  <c r="K262" i="33" s="1"/>
  <c r="CB57" i="3"/>
  <c r="AH262" i="33" s="1"/>
  <c r="AI262" i="33" s="1"/>
  <c r="BZ57" i="3"/>
  <c r="BR57" i="3"/>
  <c r="AA262" i="33" s="1"/>
  <c r="AB262" i="33" s="1"/>
  <c r="AC262" i="33" s="1"/>
  <c r="BP57" i="3"/>
  <c r="BH57" i="3"/>
  <c r="T262" i="33" s="1"/>
  <c r="U262" i="33" s="1"/>
  <c r="BF57" i="3"/>
  <c r="AX57" i="3"/>
  <c r="M262" i="33" s="1"/>
  <c r="N262"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AI322" i="33" l="1"/>
  <c r="P10" i="38"/>
  <c r="K350" i="33"/>
  <c r="K351" i="33"/>
  <c r="M350" i="33"/>
  <c r="N350" i="33" s="1"/>
  <c r="M351" i="33"/>
  <c r="N351" i="33" s="1"/>
  <c r="Y350" i="33"/>
  <c r="Z350" i="33" s="1"/>
  <c r="AC11" i="38" s="1"/>
  <c r="M266" i="33"/>
  <c r="N266" i="33" s="1"/>
  <c r="F11" i="38"/>
  <c r="G11" i="38"/>
  <c r="E11" i="38"/>
  <c r="D11" i="38"/>
  <c r="H11" i="38"/>
  <c r="AP10" i="38"/>
  <c r="P11" i="38"/>
  <c r="AP11" i="38"/>
  <c r="AC10" i="38"/>
  <c r="N263" i="33"/>
  <c r="N265" i="33"/>
  <c r="N271" i="33"/>
  <c r="O271" i="33" s="1"/>
  <c r="N270" i="33"/>
  <c r="O270" i="33" s="1"/>
  <c r="N329" i="33"/>
  <c r="O329" i="33" s="1"/>
  <c r="N264" i="33"/>
  <c r="N310" i="33"/>
  <c r="O310" i="33" s="1"/>
  <c r="CH115" i="3"/>
  <c r="CM115" i="3"/>
  <c r="BQ77" i="3"/>
  <c r="CM77" i="3"/>
  <c r="CM85" i="3"/>
  <c r="CJ114" i="3"/>
  <c r="Y118" i="33" s="1"/>
  <c r="Z118" i="33" s="1"/>
  <c r="CM114" i="3"/>
  <c r="CM81" i="3"/>
  <c r="CH94" i="3"/>
  <c r="R98" i="33" s="1"/>
  <c r="S98" i="33" s="1"/>
  <c r="CA73" i="3"/>
  <c r="CM73" i="3"/>
  <c r="CM82" i="3"/>
  <c r="BQ78" i="3"/>
  <c r="CM78" i="3"/>
  <c r="CJ113" i="3"/>
  <c r="CM113" i="3"/>
  <c r="BG115" i="3"/>
  <c r="AR114" i="3"/>
  <c r="AR115" i="3"/>
  <c r="BL114" i="3"/>
  <c r="BB114" i="3"/>
  <c r="BL115" i="3"/>
  <c r="BI80" i="3"/>
  <c r="T92" i="33" s="1"/>
  <c r="U92" i="33" s="1"/>
  <c r="V92" i="33" s="1"/>
  <c r="BB115" i="3"/>
  <c r="BQ113" i="3"/>
  <c r="CJ77" i="3"/>
  <c r="Y89" i="33" s="1"/>
  <c r="CJ78" i="3"/>
  <c r="Y90" i="33" s="1"/>
  <c r="CA115" i="3"/>
  <c r="CL93" i="3"/>
  <c r="BS93" i="3"/>
  <c r="BI79" i="3"/>
  <c r="CM83" i="3"/>
  <c r="BS79" i="3"/>
  <c r="CC79" i="3"/>
  <c r="AY91" i="3"/>
  <c r="BS78" i="3"/>
  <c r="BI90" i="3"/>
  <c r="BI93" i="3"/>
  <c r="BS89" i="3"/>
  <c r="BI87" i="3"/>
  <c r="BI91" i="3"/>
  <c r="CC91" i="3"/>
  <c r="BL75" i="3"/>
  <c r="CC90" i="3"/>
  <c r="BW79" i="3"/>
  <c r="CM79" i="3" s="1"/>
  <c r="BS73" i="3"/>
  <c r="CC77" i="3"/>
  <c r="BI88" i="3"/>
  <c r="CC88" i="3"/>
  <c r="AY87" i="3"/>
  <c r="BB74" i="3"/>
  <c r="BI77" i="3"/>
  <c r="CC93" i="3"/>
  <c r="CC78" i="3"/>
  <c r="BS77" i="3"/>
  <c r="BI78" i="3"/>
  <c r="CC87" i="3"/>
  <c r="BS88" i="3"/>
  <c r="BI92" i="3"/>
  <c r="AA86" i="33"/>
  <c r="AB86" i="33" s="1"/>
  <c r="AC86" i="33" s="1"/>
  <c r="BV74" i="3"/>
  <c r="CC75" i="3"/>
  <c r="CM74" i="3"/>
  <c r="BL80" i="3"/>
  <c r="AR78" i="3"/>
  <c r="AR79" i="3"/>
  <c r="BL92" i="3"/>
  <c r="CC92" i="3"/>
  <c r="AY75" i="3"/>
  <c r="BL77" i="3"/>
  <c r="BB78" i="3"/>
  <c r="BB79" i="3"/>
  <c r="BS90" i="3"/>
  <c r="BC92" i="3"/>
  <c r="AR74" i="3"/>
  <c r="BB75" i="3"/>
  <c r="AR92" i="3"/>
  <c r="AY77" i="3"/>
  <c r="AY78" i="3"/>
  <c r="AY89" i="3"/>
  <c r="AY93" i="3"/>
  <c r="BC93" i="3"/>
  <c r="BI74" i="3"/>
  <c r="BS75" i="3"/>
  <c r="AR77" i="3"/>
  <c r="AR80" i="3"/>
  <c r="BV78" i="3"/>
  <c r="BV79" i="3"/>
  <c r="BB92" i="3"/>
  <c r="BM92" i="3"/>
  <c r="BV75" i="3"/>
  <c r="BB77" i="3"/>
  <c r="BB80" i="3"/>
  <c r="CM84" i="3"/>
  <c r="BM93" i="3"/>
  <c r="AH86" i="33"/>
  <c r="AI86" i="33" s="1"/>
  <c r="BW75" i="3"/>
  <c r="AY80" i="3"/>
  <c r="M92" i="33" s="1"/>
  <c r="N92" i="33" s="1"/>
  <c r="AY86" i="3"/>
  <c r="AY92" i="3"/>
  <c r="BW92" i="3"/>
  <c r="CM80" i="3"/>
  <c r="CC80" i="3"/>
  <c r="AH92" i="33" s="1"/>
  <c r="AI92" i="33" s="1"/>
  <c r="BI86" i="3"/>
  <c r="CC86" i="3"/>
  <c r="BI89" i="3"/>
  <c r="BV62" i="3"/>
  <c r="BV67" i="3"/>
  <c r="BV64" i="3"/>
  <c r="BV59" i="3"/>
  <c r="BL67" i="3"/>
  <c r="BL64" i="3"/>
  <c r="BL72" i="3"/>
  <c r="BV70" i="3"/>
  <c r="BV68" i="3"/>
  <c r="BL57" i="3"/>
  <c r="BL59" i="3"/>
  <c r="BL62" i="3"/>
  <c r="BL65" i="3"/>
  <c r="BL60" i="3"/>
  <c r="BV57" i="3"/>
  <c r="BV60" i="3"/>
  <c r="BV72" i="3"/>
  <c r="BV65" i="3"/>
  <c r="BL70" i="3"/>
  <c r="BL68" i="3"/>
  <c r="AY73" i="3"/>
  <c r="M85" i="33" s="1"/>
  <c r="N85"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U10" i="38" l="1"/>
  <c r="AT10" i="38"/>
  <c r="AS10" i="38"/>
  <c r="AR10" i="38"/>
  <c r="AQ10" i="38"/>
  <c r="AD10" i="38"/>
  <c r="AH10" i="38"/>
  <c r="AG10" i="38"/>
  <c r="AE10" i="38"/>
  <c r="AF10" i="38"/>
  <c r="AF11" i="38"/>
  <c r="AE11" i="38"/>
  <c r="AH11" i="38"/>
  <c r="AD11" i="38"/>
  <c r="AG11" i="38"/>
  <c r="AS11" i="38"/>
  <c r="AU11" i="38"/>
  <c r="AQ11" i="38"/>
  <c r="AT11" i="38"/>
  <c r="AR11" i="38"/>
  <c r="S11" i="38"/>
  <c r="T11" i="38"/>
  <c r="Q11" i="38"/>
  <c r="R11" i="38"/>
  <c r="U11" i="38"/>
  <c r="CM93" i="3"/>
  <c r="CM92" i="3"/>
  <c r="CL75" i="3"/>
  <c r="AF87" i="33" s="1"/>
  <c r="CM75" i="3"/>
  <c r="BG80" i="3"/>
  <c r="Q92" i="33" s="1"/>
  <c r="CH80" i="3"/>
  <c r="R92" i="33" s="1"/>
  <c r="S92" i="33" s="1"/>
  <c r="BQ93" i="3"/>
  <c r="CJ93" i="3"/>
  <c r="CA92" i="3"/>
  <c r="CL92" i="3"/>
  <c r="BG93" i="3"/>
  <c r="CH93" i="3"/>
  <c r="BG92" i="3"/>
  <c r="CH92" i="3"/>
  <c r="BQ92" i="3"/>
  <c r="CJ92" i="3"/>
  <c r="CA79" i="3"/>
  <c r="CL79" i="3"/>
  <c r="AF91" i="33" s="1"/>
  <c r="CA75" i="3"/>
  <c r="AE87" i="33" s="1"/>
  <c r="BQ74" i="3"/>
  <c r="X86" i="33" s="1"/>
  <c r="CJ74" i="3"/>
  <c r="Y86" i="33" s="1"/>
  <c r="Z86" i="33" s="1"/>
  <c r="AK13" i="29"/>
  <c r="M220" i="33" s="1"/>
  <c r="N220" i="33" s="1"/>
  <c r="O220" i="33" s="1"/>
  <c r="AI13" i="29"/>
  <c r="AU13" i="29"/>
  <c r="T220" i="33" s="1"/>
  <c r="U220" i="33" s="1"/>
  <c r="V220" i="33" s="1"/>
  <c r="AS13" i="29"/>
  <c r="BE13" i="29"/>
  <c r="AA220" i="33" s="1"/>
  <c r="AB220" i="33" s="1"/>
  <c r="AC220" i="33" s="1"/>
  <c r="BC13" i="29"/>
  <c r="BX13" i="29"/>
  <c r="AF220" i="33" s="1"/>
  <c r="AG220" i="33" s="1"/>
  <c r="BV13" i="29"/>
  <c r="Y220" i="33" s="1"/>
  <c r="Z220" i="33" s="1"/>
  <c r="BT13" i="29"/>
  <c r="R220" i="33" s="1"/>
  <c r="S220" i="33" s="1"/>
  <c r="BR13" i="29"/>
  <c r="K220" i="33" s="1"/>
  <c r="L220" i="33" s="1"/>
  <c r="BO13" i="29"/>
  <c r="AH220" i="33" s="1"/>
  <c r="AI220" i="33" s="1"/>
  <c r="BM13" i="29"/>
  <c r="AB13" i="29"/>
  <c r="AB10" i="29"/>
  <c r="AA13" i="29"/>
  <c r="AO13" i="29" s="1"/>
  <c r="BM50" i="3"/>
  <c r="BC50" i="3"/>
  <c r="AO50" i="3"/>
  <c r="AL13" i="29" l="1"/>
  <c r="M35" i="33" s="1"/>
  <c r="N35" i="33" s="1"/>
  <c r="O35" i="33" s="1"/>
  <c r="CM50" i="3"/>
  <c r="AV13" i="29"/>
  <c r="T35" i="33" s="1"/>
  <c r="U35" i="33" s="1"/>
  <c r="V35" i="33" s="1"/>
  <c r="BP13" i="29"/>
  <c r="AH35" i="33" s="1"/>
  <c r="AI35" i="33" s="1"/>
  <c r="AF13" i="29"/>
  <c r="AP13" i="29"/>
  <c r="AZ13" i="29"/>
  <c r="BJ13" i="29"/>
  <c r="BF13" i="29"/>
  <c r="AA35" i="33" s="1"/>
  <c r="AB35" i="33" s="1"/>
  <c r="AC35" i="33" s="1"/>
  <c r="AE13" i="29"/>
  <c r="BI13" i="29"/>
  <c r="AY13" i="29"/>
  <c r="BZ13" i="29" l="1"/>
  <c r="BU13" i="29"/>
  <c r="R35" i="33" s="1"/>
  <c r="S35" i="33" s="1"/>
  <c r="AT13" i="29"/>
  <c r="Q35" i="33" s="1"/>
  <c r="AJ13" i="29"/>
  <c r="J35" i="33" s="1"/>
  <c r="BS13" i="29"/>
  <c r="K35" i="33" s="1"/>
  <c r="L35" i="33" s="1"/>
  <c r="BN13" i="29"/>
  <c r="AE35" i="33" s="1"/>
  <c r="BY13" i="29"/>
  <c r="AF35" i="33" s="1"/>
  <c r="AG35" i="33" s="1"/>
  <c r="BD13" i="29"/>
  <c r="X35" i="33" s="1"/>
  <c r="BW13" i="29"/>
  <c r="Y35" i="33" s="1"/>
  <c r="Z35" i="33" s="1"/>
  <c r="AX123" i="3"/>
  <c r="M280" i="33" s="1"/>
  <c r="AW123" i="3"/>
  <c r="AV123" i="3"/>
  <c r="CL123" i="3"/>
  <c r="CK123" i="3"/>
  <c r="AF280" i="33" s="1"/>
  <c r="CJ123" i="3"/>
  <c r="CI123" i="3"/>
  <c r="Y280" i="33" s="1"/>
  <c r="CH123" i="3"/>
  <c r="CG123" i="3"/>
  <c r="R280" i="33" s="1"/>
  <c r="CF123" i="3"/>
  <c r="CE123" i="3"/>
  <c r="K280" i="33" s="1"/>
  <c r="L280" i="33" s="1"/>
  <c r="CB123" i="3"/>
  <c r="AH280" i="33" s="1"/>
  <c r="AI280" i="33" s="1"/>
  <c r="CA123" i="3"/>
  <c r="BZ123" i="3"/>
  <c r="BR123" i="3"/>
  <c r="AA280" i="33" s="1"/>
  <c r="AB280" i="33" s="1"/>
  <c r="AC280" i="33" s="1"/>
  <c r="BQ123" i="3"/>
  <c r="BP123" i="3"/>
  <c r="BH123" i="3"/>
  <c r="T280" i="33" s="1"/>
  <c r="U280" i="33" s="1"/>
  <c r="V280" i="33" s="1"/>
  <c r="BG123" i="3"/>
  <c r="BF123" i="3"/>
  <c r="AO123" i="3"/>
  <c r="BI123" i="3" s="1"/>
  <c r="AN123" i="3"/>
  <c r="BB123" i="3" s="1"/>
  <c r="N280" i="33" l="1"/>
  <c r="O280" i="33" s="1"/>
  <c r="AY123" i="3"/>
  <c r="CC123" i="3"/>
  <c r="BS123" i="3"/>
  <c r="BL123" i="3"/>
  <c r="AR123" i="3"/>
  <c r="BV123" i="3"/>
  <c r="AC31" i="3" l="1"/>
  <c r="CL50" i="3"/>
  <c r="AF67" i="33" s="1"/>
  <c r="AG67" i="33" s="1"/>
  <c r="CJ50" i="3"/>
  <c r="Y67" i="33" s="1"/>
  <c r="Z67" i="33" s="1"/>
  <c r="CH50" i="3"/>
  <c r="R67" i="33" s="1"/>
  <c r="S67" i="33" s="1"/>
  <c r="CF50" i="3"/>
  <c r="K67" i="33" s="1"/>
  <c r="L67" i="33" s="1"/>
  <c r="CC50" i="3"/>
  <c r="AH67" i="33" s="1"/>
  <c r="AI67" i="33" s="1"/>
  <c r="CA50" i="3"/>
  <c r="AE67" i="33" s="1"/>
  <c r="BS50" i="3"/>
  <c r="AA67" i="33" s="1"/>
  <c r="AB67" i="33" s="1"/>
  <c r="AC67" i="33" s="1"/>
  <c r="BQ50" i="3"/>
  <c r="X67" i="33" s="1"/>
  <c r="BI50" i="3"/>
  <c r="T67" i="33" s="1"/>
  <c r="U67" i="33" s="1"/>
  <c r="V67" i="33" s="1"/>
  <c r="BG50" i="3"/>
  <c r="Q67" i="33" s="1"/>
  <c r="AY50" i="3"/>
  <c r="M67" i="33" s="1"/>
  <c r="AW50" i="3"/>
  <c r="J67" i="33" s="1"/>
  <c r="N67" i="33" l="1"/>
  <c r="O67" i="33" s="1"/>
  <c r="AB15" i="27"/>
  <c r="P14" i="27"/>
  <c r="AA15" i="27"/>
  <c r="AE15" i="27" s="1"/>
  <c r="BX15" i="27"/>
  <c r="BV15" i="27"/>
  <c r="BT15" i="27"/>
  <c r="BR15" i="27"/>
  <c r="BO15" i="27"/>
  <c r="BM15" i="27"/>
  <c r="BE15" i="27"/>
  <c r="BC15" i="27"/>
  <c r="AU15" i="27"/>
  <c r="AS15" i="27"/>
  <c r="AK15" i="27"/>
  <c r="AI15" i="27"/>
  <c r="T210" i="33" l="1"/>
  <c r="U210" i="33" s="1"/>
  <c r="V210" i="33" s="1"/>
  <c r="AA210" i="33"/>
  <c r="AB210" i="33" s="1"/>
  <c r="AC210" i="33" s="1"/>
  <c r="K210" i="33"/>
  <c r="L210" i="33" s="1"/>
  <c r="R210" i="33"/>
  <c r="S210" i="33" s="1"/>
  <c r="M210" i="33"/>
  <c r="N210" i="33" s="1"/>
  <c r="O210" i="33" s="1"/>
  <c r="Y210" i="33"/>
  <c r="Z210" i="33" s="1"/>
  <c r="AF210" i="33"/>
  <c r="AG210" i="33" s="1"/>
  <c r="AH210" i="33"/>
  <c r="AI210" i="33" s="1"/>
  <c r="BF15" i="27"/>
  <c r="AA17" i="33" s="1"/>
  <c r="AF15" i="27"/>
  <c r="BJ15" i="27"/>
  <c r="BY15" i="27" s="1"/>
  <c r="AZ15" i="27"/>
  <c r="BW15" i="27" s="1"/>
  <c r="AP15" i="27"/>
  <c r="AT15" i="27" s="1"/>
  <c r="AV15" i="27"/>
  <c r="BP15" i="27"/>
  <c r="AL15" i="27"/>
  <c r="AY15" i="27"/>
  <c r="BI15" i="27"/>
  <c r="AO15" i="27"/>
  <c r="BS15" i="27" l="1"/>
  <c r="K17" i="33" s="1"/>
  <c r="L17" i="33" s="1"/>
  <c r="CA15" i="27"/>
  <c r="AH17" i="33"/>
  <c r="AI17" i="33" s="1"/>
  <c r="AF17" i="33"/>
  <c r="AG17" i="33" s="1"/>
  <c r="T17" i="33"/>
  <c r="U17" i="33" s="1"/>
  <c r="V17" i="33" s="1"/>
  <c r="Y17" i="33"/>
  <c r="Z17" i="33" s="1"/>
  <c r="M17" i="33"/>
  <c r="N17" i="33" s="1"/>
  <c r="O17" i="33" s="1"/>
  <c r="AB17" i="33"/>
  <c r="AC17" i="33" s="1"/>
  <c r="Q17" i="33"/>
  <c r="BZ15" i="27"/>
  <c r="BU15" i="27"/>
  <c r="BD15" i="27"/>
  <c r="AJ15" i="27"/>
  <c r="BN15" i="27"/>
  <c r="AE17" i="33" s="1"/>
  <c r="CK163" i="3"/>
  <c r="AF204" i="33" s="1"/>
  <c r="AG204" i="33" s="1"/>
  <c r="CI163" i="3"/>
  <c r="Y204" i="33" s="1"/>
  <c r="Z204" i="33" s="1"/>
  <c r="CG163" i="3"/>
  <c r="R204" i="33" s="1"/>
  <c r="S204" i="33" s="1"/>
  <c r="CE163" i="3"/>
  <c r="K204" i="33" s="1"/>
  <c r="L204" i="33" s="1"/>
  <c r="CB163" i="3"/>
  <c r="AH204" i="33" s="1"/>
  <c r="AI204" i="33" s="1"/>
  <c r="BZ163" i="3"/>
  <c r="CK162" i="3"/>
  <c r="AF203" i="33" s="1"/>
  <c r="CI162" i="3"/>
  <c r="Y203" i="33" s="1"/>
  <c r="CG162" i="3"/>
  <c r="R203" i="33" s="1"/>
  <c r="CE162" i="3"/>
  <c r="K203" i="33" s="1"/>
  <c r="L203" i="33" s="1"/>
  <c r="CB162" i="3"/>
  <c r="AH203" i="33" s="1"/>
  <c r="AI203" i="33" s="1"/>
  <c r="BZ162" i="3"/>
  <c r="CK161" i="3"/>
  <c r="AF202" i="33" s="1"/>
  <c r="CI161" i="3"/>
  <c r="Y202" i="33" s="1"/>
  <c r="CG161" i="3"/>
  <c r="R202" i="33" s="1"/>
  <c r="CE161" i="3"/>
  <c r="K202" i="33" s="1"/>
  <c r="L202" i="33" s="1"/>
  <c r="CB161" i="3"/>
  <c r="AH202" i="33" s="1"/>
  <c r="AI202" i="33" s="1"/>
  <c r="BZ161" i="3"/>
  <c r="CK160" i="3"/>
  <c r="AF201" i="33" s="1"/>
  <c r="CI160" i="3"/>
  <c r="Y201" i="33" s="1"/>
  <c r="CG160" i="3"/>
  <c r="R201" i="33" s="1"/>
  <c r="S201" i="33" s="1"/>
  <c r="CE160" i="3"/>
  <c r="K201" i="33" s="1"/>
  <c r="CB160" i="3"/>
  <c r="AH201" i="33" s="1"/>
  <c r="AI201" i="33" s="1"/>
  <c r="BZ160" i="3"/>
  <c r="CK159" i="3"/>
  <c r="AF200" i="33" s="1"/>
  <c r="CI159" i="3"/>
  <c r="Y200" i="33" s="1"/>
  <c r="CG159" i="3"/>
  <c r="R200" i="33" s="1"/>
  <c r="CE159" i="3"/>
  <c r="K200" i="33" s="1"/>
  <c r="L200" i="33" s="1"/>
  <c r="CB159" i="3"/>
  <c r="AH200" i="33" s="1"/>
  <c r="AI200" i="33" s="1"/>
  <c r="BZ159" i="3"/>
  <c r="CK158" i="3"/>
  <c r="CI158" i="3"/>
  <c r="CG158" i="3"/>
  <c r="CE158" i="3"/>
  <c r="CB158" i="3"/>
  <c r="BZ158" i="3"/>
  <c r="CK157" i="3"/>
  <c r="CI157" i="3"/>
  <c r="CG157" i="3"/>
  <c r="CE157" i="3"/>
  <c r="K304" i="33" s="1"/>
  <c r="L304" i="33" s="1"/>
  <c r="CB157" i="3"/>
  <c r="BZ157" i="3"/>
  <c r="CK155" i="3"/>
  <c r="AF302" i="33" s="1"/>
  <c r="AG302" i="33" s="1"/>
  <c r="CI155" i="3"/>
  <c r="Y302" i="33" s="1"/>
  <c r="CG155" i="3"/>
  <c r="R302" i="33" s="1"/>
  <c r="CE155" i="3"/>
  <c r="CB155" i="3"/>
  <c r="AH302" i="33" s="1"/>
  <c r="AI302" i="33" s="1"/>
  <c r="BZ155" i="3"/>
  <c r="CK154" i="3"/>
  <c r="AF362" i="33" s="1"/>
  <c r="CI154" i="3"/>
  <c r="Y362" i="33" s="1"/>
  <c r="CG154" i="3"/>
  <c r="R362" i="33" s="1"/>
  <c r="S362" i="33" s="1"/>
  <c r="CE154" i="3"/>
  <c r="K362" i="33" s="1"/>
  <c r="CB154" i="3"/>
  <c r="AH362" i="33" s="1"/>
  <c r="AI362" i="33" s="1"/>
  <c r="BZ154" i="3"/>
  <c r="BV154" i="3"/>
  <c r="CK153" i="3"/>
  <c r="AF199" i="33" s="1"/>
  <c r="CI153" i="3"/>
  <c r="Y199" i="33" s="1"/>
  <c r="CG153" i="3"/>
  <c r="R199" i="33" s="1"/>
  <c r="S199" i="33" s="1"/>
  <c r="CE153" i="3"/>
  <c r="K199" i="33" s="1"/>
  <c r="CB153" i="3"/>
  <c r="AH199" i="33" s="1"/>
  <c r="AI199" i="33" s="1"/>
  <c r="BZ153" i="3"/>
  <c r="CK152" i="3"/>
  <c r="AF301" i="33" s="1"/>
  <c r="CI152" i="3"/>
  <c r="Y301" i="33" s="1"/>
  <c r="CG152" i="3"/>
  <c r="R301" i="33" s="1"/>
  <c r="S301" i="33" s="1"/>
  <c r="CE152" i="3"/>
  <c r="K301" i="33" s="1"/>
  <c r="CB152" i="3"/>
  <c r="AH301" i="33" s="1"/>
  <c r="AI301" i="33" s="1"/>
  <c r="BZ152" i="3"/>
  <c r="BR163" i="3"/>
  <c r="AA204" i="33" s="1"/>
  <c r="AB204" i="33" s="1"/>
  <c r="AC204" i="33" s="1"/>
  <c r="BP163" i="3"/>
  <c r="BR162" i="3"/>
  <c r="AA203" i="33" s="1"/>
  <c r="AB203" i="33" s="1"/>
  <c r="AC203" i="33" s="1"/>
  <c r="BP162" i="3"/>
  <c r="BR161" i="3"/>
  <c r="AA202" i="33" s="1"/>
  <c r="AB202" i="33" s="1"/>
  <c r="AC202" i="33" s="1"/>
  <c r="BP161" i="3"/>
  <c r="BR160" i="3"/>
  <c r="AA201" i="33" s="1"/>
  <c r="AB201" i="33" s="1"/>
  <c r="AC201" i="33" s="1"/>
  <c r="BP160" i="3"/>
  <c r="BR159" i="3"/>
  <c r="AA200" i="33" s="1"/>
  <c r="AB200" i="33" s="1"/>
  <c r="AC200" i="33" s="1"/>
  <c r="BP159" i="3"/>
  <c r="BR158" i="3"/>
  <c r="BP158" i="3"/>
  <c r="BR157" i="3"/>
  <c r="AC304" i="33" s="1"/>
  <c r="BP157" i="3"/>
  <c r="BR155" i="3"/>
  <c r="AA302" i="33" s="1"/>
  <c r="AB302" i="33" s="1"/>
  <c r="AC302" i="33" s="1"/>
  <c r="BP155" i="3"/>
  <c r="BR154" i="3"/>
  <c r="AA362" i="33" s="1"/>
  <c r="AB362" i="33" s="1"/>
  <c r="AC362" i="33" s="1"/>
  <c r="BP154" i="3"/>
  <c r="BL154" i="3"/>
  <c r="BR153" i="3"/>
  <c r="AA199" i="33" s="1"/>
  <c r="AB199" i="33" s="1"/>
  <c r="AC199" i="33" s="1"/>
  <c r="BP153" i="3"/>
  <c r="BR152" i="3"/>
  <c r="AA301" i="33" s="1"/>
  <c r="AB301" i="33" s="1"/>
  <c r="AC301" i="33" s="1"/>
  <c r="BP152" i="3"/>
  <c r="BH163" i="3"/>
  <c r="T204" i="33" s="1"/>
  <c r="U204" i="33" s="1"/>
  <c r="V204" i="33" s="1"/>
  <c r="BF163" i="3"/>
  <c r="BH162" i="3"/>
  <c r="T203" i="33" s="1"/>
  <c r="U203" i="33" s="1"/>
  <c r="V203" i="33" s="1"/>
  <c r="BF162" i="3"/>
  <c r="BH161" i="3"/>
  <c r="T202" i="33" s="1"/>
  <c r="U202" i="33" s="1"/>
  <c r="V202" i="33" s="1"/>
  <c r="BF161" i="3"/>
  <c r="BH160" i="3"/>
  <c r="T201" i="33" s="1"/>
  <c r="U201" i="33" s="1"/>
  <c r="V201" i="33" s="1"/>
  <c r="BF160" i="3"/>
  <c r="BH159" i="3"/>
  <c r="T200" i="33" s="1"/>
  <c r="U200" i="33" s="1"/>
  <c r="V200" i="33" s="1"/>
  <c r="BF159" i="3"/>
  <c r="BH158" i="3"/>
  <c r="BF158" i="3"/>
  <c r="BH157" i="3"/>
  <c r="V304" i="33" s="1"/>
  <c r="BH155" i="3"/>
  <c r="T302" i="33" s="1"/>
  <c r="U302" i="33" s="1"/>
  <c r="V302" i="33" s="1"/>
  <c r="BF155" i="3"/>
  <c r="BH154" i="3"/>
  <c r="T362" i="33" s="1"/>
  <c r="U362" i="33" s="1"/>
  <c r="V362" i="33" s="1"/>
  <c r="BF154" i="3"/>
  <c r="BB154" i="3"/>
  <c r="BH153" i="3"/>
  <c r="T199" i="33" s="1"/>
  <c r="U199" i="33" s="1"/>
  <c r="V199" i="33" s="1"/>
  <c r="BF153" i="3"/>
  <c r="BH152" i="3"/>
  <c r="T301" i="33" s="1"/>
  <c r="U301" i="33" s="1"/>
  <c r="V301" i="33" s="1"/>
  <c r="BF152" i="3"/>
  <c r="AX163" i="3"/>
  <c r="M204" i="33" s="1"/>
  <c r="N204" i="33" s="1"/>
  <c r="O204" i="33" s="1"/>
  <c r="AV163" i="3"/>
  <c r="AX162" i="3"/>
  <c r="M203" i="33" s="1"/>
  <c r="N203" i="33" s="1"/>
  <c r="O203" i="33" s="1"/>
  <c r="AV162" i="3"/>
  <c r="AX161" i="3"/>
  <c r="M202" i="33" s="1"/>
  <c r="N202" i="33" s="1"/>
  <c r="O202" i="33" s="1"/>
  <c r="AV161" i="3"/>
  <c r="AX160" i="3"/>
  <c r="M201" i="33" s="1"/>
  <c r="N201" i="33" s="1"/>
  <c r="AV160" i="3"/>
  <c r="AX159" i="3"/>
  <c r="M200" i="33" s="1"/>
  <c r="N200" i="33" s="1"/>
  <c r="O200" i="33" s="1"/>
  <c r="AV159" i="3"/>
  <c r="AX158" i="3"/>
  <c r="AX157" i="3"/>
  <c r="M304" i="33" s="1"/>
  <c r="N304" i="33" s="1"/>
  <c r="O304" i="33" s="1"/>
  <c r="AX155" i="3"/>
  <c r="M302" i="33" s="1"/>
  <c r="N302" i="33" s="1"/>
  <c r="O302" i="33" s="1"/>
  <c r="AV155" i="3"/>
  <c r="M362" i="33"/>
  <c r="N362" i="33" s="1"/>
  <c r="AX153" i="3"/>
  <c r="M199" i="33" s="1"/>
  <c r="N199" i="33" s="1"/>
  <c r="AX152" i="3"/>
  <c r="M301" i="33" s="1"/>
  <c r="N301" i="33" s="1"/>
  <c r="AV152" i="3"/>
  <c r="AO163" i="3"/>
  <c r="BW163" i="3" s="1"/>
  <c r="CL163" i="3" s="1"/>
  <c r="AN163" i="3"/>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7" i="33" s="1"/>
  <c r="CI20" i="3"/>
  <c r="Y247" i="33" s="1"/>
  <c r="Z247" i="33" s="1"/>
  <c r="CG20" i="3"/>
  <c r="R247" i="33" s="1"/>
  <c r="S247" i="33" s="1"/>
  <c r="CE20" i="3"/>
  <c r="K247" i="33" s="1"/>
  <c r="L247" i="33" s="1"/>
  <c r="CB20" i="3"/>
  <c r="AH247" i="33" s="1"/>
  <c r="AI247" i="33" s="1"/>
  <c r="BZ20" i="3"/>
  <c r="BR20" i="3"/>
  <c r="AA247" i="33" s="1"/>
  <c r="AB247" i="33" s="1"/>
  <c r="AC247" i="33" s="1"/>
  <c r="BP20" i="3"/>
  <c r="BH20" i="3"/>
  <c r="T247" i="33" s="1"/>
  <c r="U247" i="33" s="1"/>
  <c r="V247" i="33" s="1"/>
  <c r="BF20" i="3"/>
  <c r="AX20" i="3"/>
  <c r="M247" i="33" s="1"/>
  <c r="AV20" i="3"/>
  <c r="AO20" i="3"/>
  <c r="BS20" i="3" s="1"/>
  <c r="AA125" i="33" s="1"/>
  <c r="AB125" i="33" s="1"/>
  <c r="AC125" i="33" s="1"/>
  <c r="AN20" i="3"/>
  <c r="BB20" i="3" s="1"/>
  <c r="BL163" i="3" l="1"/>
  <c r="AR163" i="3"/>
  <c r="CC155" i="3"/>
  <c r="BS155" i="3"/>
  <c r="BI155" i="3"/>
  <c r="K302" i="33"/>
  <c r="L302" i="33" s="1"/>
  <c r="R363" i="33"/>
  <c r="S363" i="33" s="1"/>
  <c r="Y363" i="33"/>
  <c r="Z363" i="33" s="1"/>
  <c r="AF363" i="33"/>
  <c r="AG363" i="33" s="1"/>
  <c r="AA363" i="33"/>
  <c r="AB363" i="33" s="1"/>
  <c r="AC363" i="33" s="1"/>
  <c r="K363" i="33"/>
  <c r="BM153" i="3"/>
  <c r="CJ153" i="3" s="1"/>
  <c r="AY153" i="3"/>
  <c r="BM155" i="3"/>
  <c r="AY155" i="3"/>
  <c r="T363" i="33"/>
  <c r="U363" i="33" s="1"/>
  <c r="V363" i="33" s="1"/>
  <c r="M363" i="33"/>
  <c r="N363" i="33" s="1"/>
  <c r="AH363" i="33"/>
  <c r="AI363" i="33" s="1"/>
  <c r="J17" i="33"/>
  <c r="R17" i="33"/>
  <c r="S17" i="33" s="1"/>
  <c r="X17" i="33"/>
  <c r="BM160" i="3"/>
  <c r="CJ160" i="3" s="1"/>
  <c r="CC182" i="3"/>
  <c r="BL155" i="3"/>
  <c r="AR155" i="3"/>
  <c r="AS161" i="3"/>
  <c r="AW161" i="3" s="1"/>
  <c r="AY159" i="3"/>
  <c r="N247" i="33"/>
  <c r="O247"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AF125" i="33" s="1"/>
  <c r="AG125" i="33" s="1"/>
  <c r="BI20" i="3"/>
  <c r="T125" i="33" s="1"/>
  <c r="U125" i="33" s="1"/>
  <c r="CC20" i="3"/>
  <c r="AH125" i="33" s="1"/>
  <c r="AI125" i="33" s="1"/>
  <c r="AY20" i="3"/>
  <c r="M125" i="33" s="1"/>
  <c r="N125" i="33" s="1"/>
  <c r="BL20" i="3"/>
  <c r="AR20" i="3"/>
  <c r="BV20" i="3"/>
  <c r="CH155" i="3" l="1"/>
  <c r="BG155" i="3"/>
  <c r="CJ155" i="3"/>
  <c r="BQ155" i="3"/>
  <c r="CL155" i="3"/>
  <c r="CA155" i="3"/>
  <c r="BQ153" i="3"/>
  <c r="CF155" i="3"/>
  <c r="AW155" i="3"/>
  <c r="CF161" i="3"/>
  <c r="CL159" i="3"/>
  <c r="BQ160" i="3"/>
  <c r="CM162" i="3"/>
  <c r="CM155" i="3"/>
  <c r="CM161" i="3"/>
  <c r="CM153" i="3"/>
  <c r="AW20" i="3"/>
  <c r="J125" i="33" s="1"/>
  <c r="CM20" i="3"/>
  <c r="CM152" i="3"/>
  <c r="CM163" i="3"/>
  <c r="CM159" i="3"/>
  <c r="CM160" i="3"/>
  <c r="CH159" i="3"/>
  <c r="CA20" i="3"/>
  <c r="AE125" i="33" s="1"/>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Q125" i="33" s="1"/>
  <c r="CF20" i="3"/>
  <c r="K125" i="33" s="1"/>
  <c r="CJ20" i="3"/>
  <c r="Y125" i="33" s="1"/>
  <c r="Z125" i="33" s="1"/>
  <c r="BQ20" i="3"/>
  <c r="X125" i="33" s="1"/>
  <c r="AC122" i="3" l="1"/>
  <c r="CK151" i="3" l="1"/>
  <c r="AF359" i="33" s="1"/>
  <c r="AG359" i="33" s="1"/>
  <c r="CJ151" i="3"/>
  <c r="CI151" i="3"/>
  <c r="Y359" i="33" s="1"/>
  <c r="CH151" i="3"/>
  <c r="CG151" i="3"/>
  <c r="R359" i="33" s="1"/>
  <c r="S359" i="33" s="1"/>
  <c r="CE151" i="3"/>
  <c r="K359" i="33" s="1"/>
  <c r="CK150" i="3"/>
  <c r="AF358" i="33" s="1"/>
  <c r="AG358" i="33" s="1"/>
  <c r="CJ150" i="3"/>
  <c r="CI150" i="3"/>
  <c r="Y358" i="33" s="1"/>
  <c r="Z358" i="33" s="1"/>
  <c r="CH150" i="3"/>
  <c r="CG150" i="3"/>
  <c r="R358" i="33" s="1"/>
  <c r="S358" i="33" s="1"/>
  <c r="CE150" i="3"/>
  <c r="K358" i="33" s="1"/>
  <c r="L358" i="33" s="1"/>
  <c r="CK149" i="3"/>
  <c r="AF295" i="33" s="1"/>
  <c r="AG295" i="33" s="1"/>
  <c r="CJ149" i="3"/>
  <c r="CI149" i="3"/>
  <c r="Y295" i="33" s="1"/>
  <c r="Z295" i="33" s="1"/>
  <c r="CH149" i="3"/>
  <c r="CG149" i="3"/>
  <c r="R295" i="33" s="1"/>
  <c r="CE149" i="3"/>
  <c r="K295" i="33" s="1"/>
  <c r="L295" i="33" s="1"/>
  <c r="CB151" i="3"/>
  <c r="AH359" i="33" s="1"/>
  <c r="AI359" i="33" s="1"/>
  <c r="BZ151" i="3"/>
  <c r="CB150" i="3"/>
  <c r="AH358" i="33" s="1"/>
  <c r="AI358" i="33" s="1"/>
  <c r="BZ150" i="3"/>
  <c r="CB149" i="3"/>
  <c r="AH295" i="33" s="1"/>
  <c r="AI295" i="33" s="1"/>
  <c r="BZ149" i="3"/>
  <c r="BR151" i="3"/>
  <c r="AA359" i="33" s="1"/>
  <c r="AB359" i="33" s="1"/>
  <c r="AC359" i="33" s="1"/>
  <c r="BQ151" i="3"/>
  <c r="BP151" i="3"/>
  <c r="BR150" i="3"/>
  <c r="AA358" i="33" s="1"/>
  <c r="AB358" i="33" s="1"/>
  <c r="AC358" i="33" s="1"/>
  <c r="BQ150" i="3"/>
  <c r="BP150" i="3"/>
  <c r="AA295" i="33"/>
  <c r="AB295" i="33" s="1"/>
  <c r="AC295" i="33" s="1"/>
  <c r="BQ149" i="3"/>
  <c r="BP149" i="3"/>
  <c r="BR148" i="3"/>
  <c r="AA294" i="33" s="1"/>
  <c r="AB294" i="33" s="1"/>
  <c r="AC294" i="33" s="1"/>
  <c r="BQ148" i="3"/>
  <c r="BP148" i="3"/>
  <c r="BH151" i="3"/>
  <c r="T359" i="33" s="1"/>
  <c r="U359" i="33" s="1"/>
  <c r="V359" i="33" s="1"/>
  <c r="BG151" i="3"/>
  <c r="BF151" i="3"/>
  <c r="BH150" i="3"/>
  <c r="T358" i="33" s="1"/>
  <c r="U358" i="33" s="1"/>
  <c r="V358" i="33" s="1"/>
  <c r="BG150" i="3"/>
  <c r="BF150" i="3"/>
  <c r="BH149" i="3"/>
  <c r="T295" i="33" s="1"/>
  <c r="U295" i="33" s="1"/>
  <c r="V295" i="33" s="1"/>
  <c r="BG149" i="3"/>
  <c r="BF149" i="3"/>
  <c r="BH148" i="3"/>
  <c r="T294" i="33" s="1"/>
  <c r="U294" i="33" s="1"/>
  <c r="V294" i="33" s="1"/>
  <c r="BG148" i="3"/>
  <c r="BF148" i="3"/>
  <c r="BH147" i="3"/>
  <c r="T293" i="33" s="1"/>
  <c r="U293" i="33" s="1"/>
  <c r="V293" i="33" s="1"/>
  <c r="BG147" i="3"/>
  <c r="BF147" i="3"/>
  <c r="AX151" i="3"/>
  <c r="M359" i="33" s="1"/>
  <c r="N359" i="33" s="1"/>
  <c r="AV151" i="3"/>
  <c r="AX150" i="3"/>
  <c r="M358" i="33" s="1"/>
  <c r="N358" i="33" s="1"/>
  <c r="O358" i="33" s="1"/>
  <c r="AV150" i="3"/>
  <c r="AX149" i="3"/>
  <c r="M295" i="33" s="1"/>
  <c r="N295" i="33" s="1"/>
  <c r="O295" i="33" s="1"/>
  <c r="AV149" i="3"/>
  <c r="AX148" i="3"/>
  <c r="M294" i="33" s="1"/>
  <c r="N294" i="33" s="1"/>
  <c r="AV148" i="3"/>
  <c r="AX147" i="3"/>
  <c r="M293" i="33" s="1"/>
  <c r="N293" i="33" s="1"/>
  <c r="O293" i="33" s="1"/>
  <c r="AV147" i="3"/>
  <c r="AX146" i="3"/>
  <c r="M292" i="33" s="1"/>
  <c r="N292"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94" i="33" s="1"/>
  <c r="AG294" i="33" s="1"/>
  <c r="CJ148" i="3"/>
  <c r="CI148" i="3"/>
  <c r="Y294" i="33" s="1"/>
  <c r="CH148" i="3"/>
  <c r="CG148" i="3"/>
  <c r="R294" i="33" s="1"/>
  <c r="S294" i="33" s="1"/>
  <c r="CE148" i="3"/>
  <c r="K294" i="33" s="1"/>
  <c r="CB148" i="3"/>
  <c r="AH294" i="33" s="1"/>
  <c r="AI294" i="33" s="1"/>
  <c r="BZ148" i="3"/>
  <c r="CK147" i="3"/>
  <c r="AF293" i="33" s="1"/>
  <c r="CJ147" i="3"/>
  <c r="CI147" i="3"/>
  <c r="Y293" i="33" s="1"/>
  <c r="CH147" i="3"/>
  <c r="CG147" i="3"/>
  <c r="R293" i="33" s="1"/>
  <c r="CE147" i="3"/>
  <c r="K293" i="33" s="1"/>
  <c r="L293" i="33" s="1"/>
  <c r="CB147" i="3"/>
  <c r="AH293" i="33" s="1"/>
  <c r="AI293" i="33" s="1"/>
  <c r="BZ147" i="3"/>
  <c r="CK146" i="3"/>
  <c r="AF292" i="33" s="1"/>
  <c r="AG292" i="33" s="1"/>
  <c r="CJ146" i="3"/>
  <c r="CI146" i="3"/>
  <c r="Y292" i="33" s="1"/>
  <c r="CH146" i="3"/>
  <c r="CG146" i="3"/>
  <c r="R292" i="33" s="1"/>
  <c r="S292" i="33" s="1"/>
  <c r="CE146" i="3"/>
  <c r="K292" i="33" s="1"/>
  <c r="CB146" i="3"/>
  <c r="AH292" i="33" s="1"/>
  <c r="AI292" i="33" s="1"/>
  <c r="BZ146" i="3"/>
  <c r="CK145" i="3"/>
  <c r="AF360" i="33" s="1"/>
  <c r="AG360" i="33" s="1"/>
  <c r="CJ145" i="3"/>
  <c r="CI145" i="3"/>
  <c r="Y360" i="33" s="1"/>
  <c r="CH145" i="3"/>
  <c r="CG145" i="3"/>
  <c r="R360" i="33" s="1"/>
  <c r="CE145" i="3"/>
  <c r="K360" i="33" s="1"/>
  <c r="CB145" i="3"/>
  <c r="AH360" i="33" s="1"/>
  <c r="AI360" i="33" s="1"/>
  <c r="BZ145" i="3"/>
  <c r="CK144" i="3"/>
  <c r="AF300" i="33" s="1"/>
  <c r="AG300" i="33" s="1"/>
  <c r="AP17" i="38" s="1"/>
  <c r="CJ144" i="3"/>
  <c r="CI144" i="3"/>
  <c r="Y300" i="33" s="1"/>
  <c r="CH144" i="3"/>
  <c r="CG144" i="3"/>
  <c r="R300" i="33" s="1"/>
  <c r="CE144" i="3"/>
  <c r="K300" i="33" s="1"/>
  <c r="CB144" i="3"/>
  <c r="AH300" i="33" s="1"/>
  <c r="AI300" i="33" s="1"/>
  <c r="BZ144" i="3"/>
  <c r="CL143" i="3"/>
  <c r="CK143" i="3"/>
  <c r="AF299" i="33" s="1"/>
  <c r="CJ143" i="3"/>
  <c r="Y299" i="33"/>
  <c r="Z299" i="33" s="1"/>
  <c r="AC17" i="38" s="1"/>
  <c r="CH143" i="3"/>
  <c r="CG143" i="3"/>
  <c r="R299" i="33" s="1"/>
  <c r="S299" i="33" s="1"/>
  <c r="P17" i="38" s="1"/>
  <c r="CE143" i="3"/>
  <c r="K299" i="33" s="1"/>
  <c r="CB143" i="3"/>
  <c r="AH299" i="33" s="1"/>
  <c r="AI299" i="33" s="1"/>
  <c r="CA143" i="3"/>
  <c r="BZ143" i="3"/>
  <c r="CL142" i="3"/>
  <c r="CK142" i="3"/>
  <c r="AF198" i="33" s="1"/>
  <c r="CJ142" i="3"/>
  <c r="CI142" i="3"/>
  <c r="Y198" i="33" s="1"/>
  <c r="CH142" i="3"/>
  <c r="CG142" i="3"/>
  <c r="R198" i="33" s="1"/>
  <c r="CF142" i="3"/>
  <c r="CE142" i="3"/>
  <c r="K198" i="33" s="1"/>
  <c r="L198" i="33" s="1"/>
  <c r="CB142" i="3"/>
  <c r="AH198" i="33" s="1"/>
  <c r="AI198" i="33" s="1"/>
  <c r="CA142" i="3"/>
  <c r="BZ142" i="3"/>
  <c r="BR147" i="3"/>
  <c r="AA293" i="33" s="1"/>
  <c r="AB293" i="33" s="1"/>
  <c r="AC293" i="33" s="1"/>
  <c r="BQ147" i="3"/>
  <c r="BP147" i="3"/>
  <c r="BR146" i="3"/>
  <c r="AA292" i="33" s="1"/>
  <c r="AB292" i="33" s="1"/>
  <c r="AC292" i="33" s="1"/>
  <c r="BQ146" i="3"/>
  <c r="BP146" i="3"/>
  <c r="BR145" i="3"/>
  <c r="AA360" i="33" s="1"/>
  <c r="AB360" i="33" s="1"/>
  <c r="BQ145" i="3"/>
  <c r="BP145" i="3"/>
  <c r="BR144" i="3"/>
  <c r="AA300" i="33" s="1"/>
  <c r="AB300" i="33" s="1"/>
  <c r="BQ144" i="3"/>
  <c r="BP144" i="3"/>
  <c r="BR143" i="3"/>
  <c r="BQ143" i="3"/>
  <c r="BR142" i="3"/>
  <c r="AA198" i="33" s="1"/>
  <c r="AB198" i="33" s="1"/>
  <c r="AC198" i="33" s="1"/>
  <c r="BQ142" i="3"/>
  <c r="BP142" i="3"/>
  <c r="BH146" i="3"/>
  <c r="T292" i="33" s="1"/>
  <c r="U292" i="33" s="1"/>
  <c r="V292" i="33" s="1"/>
  <c r="BG146" i="3"/>
  <c r="BF146" i="3"/>
  <c r="BH145" i="3"/>
  <c r="T360" i="33" s="1"/>
  <c r="U360" i="33" s="1"/>
  <c r="BG145" i="3"/>
  <c r="BF145" i="3"/>
  <c r="BH144" i="3"/>
  <c r="T300" i="33" s="1"/>
  <c r="U300" i="33" s="1"/>
  <c r="BG144" i="3"/>
  <c r="BF144" i="3"/>
  <c r="BH143" i="3"/>
  <c r="T299" i="33" s="1"/>
  <c r="U299" i="33" s="1"/>
  <c r="V299" i="33" s="1"/>
  <c r="V17" i="38" s="1"/>
  <c r="BG143" i="3"/>
  <c r="BF143" i="3"/>
  <c r="BH142" i="3"/>
  <c r="T198" i="33" s="1"/>
  <c r="U198" i="33" s="1"/>
  <c r="V198" i="33" s="1"/>
  <c r="BG142" i="3"/>
  <c r="BF142" i="3"/>
  <c r="AX145" i="3"/>
  <c r="M360" i="33" s="1"/>
  <c r="N360" i="33" s="1"/>
  <c r="AV145" i="3"/>
  <c r="AX144" i="3"/>
  <c r="M300" i="33" s="1"/>
  <c r="N300" i="33" s="1"/>
  <c r="AV144" i="3"/>
  <c r="AX143" i="3"/>
  <c r="M299" i="33" s="1"/>
  <c r="N299" i="33" s="1"/>
  <c r="AV143" i="3"/>
  <c r="AX142" i="3"/>
  <c r="M198" i="33" s="1"/>
  <c r="N198" i="33" s="1"/>
  <c r="O198" i="33" s="1"/>
  <c r="AW142" i="3"/>
  <c r="AV142" i="3"/>
  <c r="AO145" i="3"/>
  <c r="BW145" i="3" s="1"/>
  <c r="AO144" i="3"/>
  <c r="BI144" i="3" s="1"/>
  <c r="AO143" i="3"/>
  <c r="AS143" i="3" s="1"/>
  <c r="CM143" i="3" s="1"/>
  <c r="AO142" i="3"/>
  <c r="BI142" i="3" s="1"/>
  <c r="AN145" i="3"/>
  <c r="BB145" i="3" s="1"/>
  <c r="AN144" i="3"/>
  <c r="BB144" i="3" s="1"/>
  <c r="AN143" i="3"/>
  <c r="AR143" i="3" s="1"/>
  <c r="AN142" i="3"/>
  <c r="BV142" i="3" s="1"/>
  <c r="C16" i="38" l="1"/>
  <c r="P16" i="38"/>
  <c r="AH17" i="38"/>
  <c r="AD17" i="38"/>
  <c r="AE17" i="38"/>
  <c r="AF17" i="38"/>
  <c r="AG17" i="38"/>
  <c r="AC16" i="38"/>
  <c r="AA299" i="33"/>
  <c r="AB299" i="33" s="1"/>
  <c r="AC299" i="33" s="1"/>
  <c r="I16" i="38"/>
  <c r="V16" i="38"/>
  <c r="AA17" i="38"/>
  <c r="Z17" i="38"/>
  <c r="Y17" i="38"/>
  <c r="X17" i="38"/>
  <c r="W17" i="38"/>
  <c r="U17" i="38"/>
  <c r="T17" i="38"/>
  <c r="S17" i="38"/>
  <c r="R17" i="38"/>
  <c r="Q17" i="38"/>
  <c r="R357" i="33"/>
  <c r="AF357" i="33"/>
  <c r="AG357" i="33" s="1"/>
  <c r="AP14" i="38" s="1"/>
  <c r="M357" i="33"/>
  <c r="N357" i="33" s="1"/>
  <c r="T357" i="33"/>
  <c r="U357" i="33" s="1"/>
  <c r="AH357" i="33"/>
  <c r="AI357" i="33" s="1"/>
  <c r="Y357" i="33"/>
  <c r="AA357" i="33"/>
  <c r="AB357" i="33" s="1"/>
  <c r="K357" i="33"/>
  <c r="C9" i="38"/>
  <c r="D9" i="38" s="1"/>
  <c r="I9" i="38"/>
  <c r="AS17" i="38"/>
  <c r="AU17" i="38"/>
  <c r="AR17" i="38"/>
  <c r="AT17" i="38"/>
  <c r="AQ17" i="38"/>
  <c r="AV17"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7" i="33" s="1"/>
  <c r="U277" i="33" s="1"/>
  <c r="BG118" i="3"/>
  <c r="BF118" i="3"/>
  <c r="AX118" i="3"/>
  <c r="M277" i="33" s="1"/>
  <c r="N277" i="33" s="1"/>
  <c r="AW118" i="3"/>
  <c r="AV118" i="3"/>
  <c r="CL118" i="3"/>
  <c r="CK118" i="3"/>
  <c r="AF277" i="33" s="1"/>
  <c r="CJ118" i="3"/>
  <c r="CI118" i="3"/>
  <c r="Y277" i="33" s="1"/>
  <c r="Z277" i="33" s="1"/>
  <c r="AC12" i="38" s="1"/>
  <c r="CH118" i="3"/>
  <c r="CG118" i="3"/>
  <c r="R277" i="33" s="1"/>
  <c r="CF118" i="3"/>
  <c r="CE118" i="3"/>
  <c r="K277" i="33" s="1"/>
  <c r="CB118" i="3"/>
  <c r="AH277" i="33" s="1"/>
  <c r="AI277" i="33" s="1"/>
  <c r="AV12" i="38" s="1"/>
  <c r="CA118" i="3"/>
  <c r="BZ118" i="3"/>
  <c r="CB94" i="3"/>
  <c r="AH331" i="33" s="1"/>
  <c r="AI331" i="33" s="1"/>
  <c r="AV11" i="38" s="1"/>
  <c r="BZ94" i="3"/>
  <c r="BR118" i="3"/>
  <c r="AA277" i="33" s="1"/>
  <c r="AB277" i="33" s="1"/>
  <c r="AC277" i="33" s="1"/>
  <c r="AI12" i="38" s="1"/>
  <c r="BQ118" i="3"/>
  <c r="BP118" i="3"/>
  <c r="BR94" i="3"/>
  <c r="AA331" i="33" s="1"/>
  <c r="AB331" i="33" s="1"/>
  <c r="AC331" i="33" s="1"/>
  <c r="AI11" i="38" s="1"/>
  <c r="BP94" i="3"/>
  <c r="BH94" i="3"/>
  <c r="T331" i="33" s="1"/>
  <c r="U331" i="33" s="1"/>
  <c r="V331" i="33" s="1"/>
  <c r="V11" i="38" s="1"/>
  <c r="BF94" i="3"/>
  <c r="AX94" i="3"/>
  <c r="M331" i="33" s="1"/>
  <c r="N331" i="33" s="1"/>
  <c r="O331" i="33" s="1"/>
  <c r="I11" i="38" s="1"/>
  <c r="AW94" i="3"/>
  <c r="J98" i="33" s="1"/>
  <c r="AV94" i="3"/>
  <c r="BQ94" i="3"/>
  <c r="X98" i="33" s="1"/>
  <c r="BG94" i="3"/>
  <c r="Q98" i="33" s="1"/>
  <c r="AO118" i="3"/>
  <c r="CC118" i="3" s="1"/>
  <c r="AN118" i="3"/>
  <c r="AR118" i="3" s="1"/>
  <c r="AN94" i="3"/>
  <c r="AU14" i="38" l="1"/>
  <c r="AT14" i="38"/>
  <c r="AS14" i="38"/>
  <c r="AR14" i="38"/>
  <c r="AQ14" i="38"/>
  <c r="AI16" i="38"/>
  <c r="AI17" i="38"/>
  <c r="AJ17" i="38" s="1"/>
  <c r="AH16" i="38"/>
  <c r="AG16" i="38"/>
  <c r="AF16" i="38"/>
  <c r="AE16" i="38"/>
  <c r="AD16" i="38"/>
  <c r="AM12" i="38"/>
  <c r="AL12" i="38"/>
  <c r="AK12" i="38"/>
  <c r="AJ12" i="38"/>
  <c r="AN12" i="38"/>
  <c r="AF12" i="38"/>
  <c r="AD12" i="38"/>
  <c r="AE12" i="38"/>
  <c r="AG12" i="38"/>
  <c r="AH12" i="38"/>
  <c r="AH9" i="38"/>
  <c r="AG9" i="38"/>
  <c r="AF9" i="38"/>
  <c r="AE9" i="38"/>
  <c r="AD9" i="38"/>
  <c r="AN11" i="38"/>
  <c r="AM11" i="38"/>
  <c r="AL11" i="38"/>
  <c r="AK11" i="38"/>
  <c r="AJ11" i="38"/>
  <c r="AP9" i="38"/>
  <c r="AS9" i="38" s="1"/>
  <c r="Y11" i="38"/>
  <c r="AA11" i="38"/>
  <c r="X11" i="38"/>
  <c r="W11" i="38"/>
  <c r="Z11" i="38"/>
  <c r="R16" i="38"/>
  <c r="U16" i="38"/>
  <c r="Q16" i="38"/>
  <c r="T16" i="38"/>
  <c r="S16" i="38"/>
  <c r="N11" i="38"/>
  <c r="M11" i="38"/>
  <c r="L11" i="38"/>
  <c r="K11" i="38"/>
  <c r="J11" i="38"/>
  <c r="N16" i="38"/>
  <c r="M16" i="38"/>
  <c r="L16" i="38"/>
  <c r="K16" i="38"/>
  <c r="J16"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8" i="33" s="1"/>
  <c r="N98" i="33" s="1"/>
  <c r="BV118" i="3"/>
  <c r="BL118" i="3"/>
  <c r="BB118" i="3"/>
  <c r="CA94" i="3"/>
  <c r="AE98" i="33" s="1"/>
  <c r="BS94" i="3"/>
  <c r="AA98" i="33" s="1"/>
  <c r="AB98" i="33" s="1"/>
  <c r="AC98" i="33" s="1"/>
  <c r="CC94" i="3"/>
  <c r="AH98" i="33" s="1"/>
  <c r="BI94" i="3"/>
  <c r="T98" i="33" s="1"/>
  <c r="U98" i="33" s="1"/>
  <c r="V98" i="33" s="1"/>
  <c r="BI118" i="3"/>
  <c r="BS118" i="3"/>
  <c r="AY118" i="3"/>
  <c r="AN50" i="3"/>
  <c r="BL50" i="3" s="1"/>
  <c r="AX50" i="3"/>
  <c r="M256" i="33" s="1"/>
  <c r="BF50" i="3"/>
  <c r="BH50" i="3"/>
  <c r="T256" i="33" s="1"/>
  <c r="U256" i="33" s="1"/>
  <c r="V256" i="33" s="1"/>
  <c r="BP50" i="3"/>
  <c r="BR50" i="3"/>
  <c r="AA256" i="33" s="1"/>
  <c r="AB256" i="33" s="1"/>
  <c r="AC256" i="33" s="1"/>
  <c r="BZ50" i="3"/>
  <c r="CB50" i="3"/>
  <c r="AH256" i="33" s="1"/>
  <c r="AI256" i="33" s="1"/>
  <c r="CE50" i="3"/>
  <c r="K256" i="33" s="1"/>
  <c r="L256" i="33" s="1"/>
  <c r="C8" i="38" s="1"/>
  <c r="CG50" i="3"/>
  <c r="R256" i="33" s="1"/>
  <c r="S256" i="33" s="1"/>
  <c r="CI50" i="3"/>
  <c r="Y256" i="33" s="1"/>
  <c r="Z256" i="33" s="1"/>
  <c r="AN51" i="3"/>
  <c r="BB51" i="3" s="1"/>
  <c r="AO51" i="3"/>
  <c r="CC51" i="3" s="1"/>
  <c r="AV51" i="3"/>
  <c r="AW51" i="3"/>
  <c r="AX51" i="3"/>
  <c r="M257" i="33" s="1"/>
  <c r="N257" i="33" s="1"/>
  <c r="BF51" i="3"/>
  <c r="BG51" i="3"/>
  <c r="BH51" i="3"/>
  <c r="T257" i="33" s="1"/>
  <c r="U257" i="33" s="1"/>
  <c r="BP51" i="3"/>
  <c r="BQ51" i="3"/>
  <c r="BR51" i="3"/>
  <c r="AA257" i="33" s="1"/>
  <c r="AB257" i="33" s="1"/>
  <c r="AC257" i="33" s="1"/>
  <c r="BZ51" i="3"/>
  <c r="CA51" i="3"/>
  <c r="CB51" i="3"/>
  <c r="AH257" i="33" s="1"/>
  <c r="AI257" i="33" s="1"/>
  <c r="CE51" i="3"/>
  <c r="K257" i="33" s="1"/>
  <c r="CF51" i="3"/>
  <c r="CG51" i="3"/>
  <c r="R257" i="33" s="1"/>
  <c r="CH51" i="3"/>
  <c r="CI51" i="3"/>
  <c r="Y257" i="33" s="1"/>
  <c r="Z257" i="33" s="1"/>
  <c r="CJ51" i="3"/>
  <c r="AN52" i="3"/>
  <c r="AO52" i="3"/>
  <c r="CC52" i="3" s="1"/>
  <c r="AV52" i="3"/>
  <c r="AW52" i="3"/>
  <c r="AX52" i="3"/>
  <c r="M258" i="33" s="1"/>
  <c r="N258" i="33" s="1"/>
  <c r="BF52" i="3"/>
  <c r="BG52" i="3"/>
  <c r="BH52" i="3"/>
  <c r="T258" i="33" s="1"/>
  <c r="U258" i="33" s="1"/>
  <c r="BP52" i="3"/>
  <c r="BQ52" i="3"/>
  <c r="BR52" i="3"/>
  <c r="AA258" i="33" s="1"/>
  <c r="AB258" i="33" s="1"/>
  <c r="AC258" i="33" s="1"/>
  <c r="BZ52" i="3"/>
  <c r="CA52" i="3"/>
  <c r="CB52" i="3"/>
  <c r="AH258" i="33" s="1"/>
  <c r="AI258" i="33" s="1"/>
  <c r="CE52" i="3"/>
  <c r="K258" i="33" s="1"/>
  <c r="CF52" i="3"/>
  <c r="CG52" i="3"/>
  <c r="R258" i="33" s="1"/>
  <c r="CH52" i="3"/>
  <c r="CI52" i="3"/>
  <c r="Y258" i="33" s="1"/>
  <c r="Z258" i="33" s="1"/>
  <c r="CJ52" i="3"/>
  <c r="AN53" i="3"/>
  <c r="BL53" i="3" s="1"/>
  <c r="AO53" i="3"/>
  <c r="CC53" i="3" s="1"/>
  <c r="AV53" i="3"/>
  <c r="AW53" i="3"/>
  <c r="AX53" i="3"/>
  <c r="M259" i="33" s="1"/>
  <c r="N259" i="33" s="1"/>
  <c r="BF53" i="3"/>
  <c r="BG53" i="3"/>
  <c r="BH53" i="3"/>
  <c r="T259" i="33" s="1"/>
  <c r="U259" i="33" s="1"/>
  <c r="V259" i="33" s="1"/>
  <c r="BP53" i="3"/>
  <c r="BQ53" i="3"/>
  <c r="BR53" i="3"/>
  <c r="AA259" i="33" s="1"/>
  <c r="AB259" i="33" s="1"/>
  <c r="BZ53" i="3"/>
  <c r="CA53" i="3"/>
  <c r="CB53" i="3"/>
  <c r="AH259" i="33" s="1"/>
  <c r="AI259" i="33" s="1"/>
  <c r="CE53" i="3"/>
  <c r="K259" i="33" s="1"/>
  <c r="CF53" i="3"/>
  <c r="CG53" i="3"/>
  <c r="R259" i="33" s="1"/>
  <c r="S259" i="33" s="1"/>
  <c r="CH53" i="3"/>
  <c r="CI53" i="3"/>
  <c r="Y259" i="33" s="1"/>
  <c r="CJ53" i="3"/>
  <c r="AO54" i="3"/>
  <c r="AN54" i="3"/>
  <c r="BB54" i="3" s="1"/>
  <c r="AV54" i="3"/>
  <c r="AW54" i="3"/>
  <c r="AX54" i="3"/>
  <c r="M260" i="33" s="1"/>
  <c r="N260" i="33" s="1"/>
  <c r="BF54" i="3"/>
  <c r="BG54" i="3"/>
  <c r="BH54" i="3"/>
  <c r="T260" i="33" s="1"/>
  <c r="U260" i="33" s="1"/>
  <c r="BP54" i="3"/>
  <c r="BQ54" i="3"/>
  <c r="BR54" i="3"/>
  <c r="AA260" i="33" s="1"/>
  <c r="AB260" i="33" s="1"/>
  <c r="AC260" i="33" s="1"/>
  <c r="BZ54" i="3"/>
  <c r="CA54" i="3"/>
  <c r="CB54" i="3"/>
  <c r="AH260" i="33" s="1"/>
  <c r="AI260" i="33" s="1"/>
  <c r="CE54" i="3"/>
  <c r="K260" i="33" s="1"/>
  <c r="CF54" i="3"/>
  <c r="CG54" i="3"/>
  <c r="R260" i="33" s="1"/>
  <c r="CH54" i="3"/>
  <c r="CI54" i="3"/>
  <c r="Y260" i="33" s="1"/>
  <c r="Z260" i="33" s="1"/>
  <c r="CJ54" i="3"/>
  <c r="AO55" i="3"/>
  <c r="BS55" i="3" s="1"/>
  <c r="AN55" i="3"/>
  <c r="AR55" i="3" s="1"/>
  <c r="AV55" i="3"/>
  <c r="AW55" i="3"/>
  <c r="AX55" i="3"/>
  <c r="M261" i="33" s="1"/>
  <c r="BF55" i="3"/>
  <c r="BG55" i="3"/>
  <c r="BH55" i="3"/>
  <c r="T261" i="33" s="1"/>
  <c r="U261" i="33" s="1"/>
  <c r="V261" i="33" s="1"/>
  <c r="BP55" i="3"/>
  <c r="BQ55" i="3"/>
  <c r="BR55" i="3"/>
  <c r="AA261" i="33" s="1"/>
  <c r="AB261" i="33" s="1"/>
  <c r="AC261" i="33" s="1"/>
  <c r="BZ55" i="3"/>
  <c r="CA55" i="3"/>
  <c r="CB55" i="3"/>
  <c r="AH261" i="33" s="1"/>
  <c r="AI261" i="33" s="1"/>
  <c r="CE55" i="3"/>
  <c r="K261" i="33" s="1"/>
  <c r="L261" i="33" s="1"/>
  <c r="CF55" i="3"/>
  <c r="CG55" i="3"/>
  <c r="R261" i="33" s="1"/>
  <c r="CH55" i="3"/>
  <c r="CI55" i="3"/>
  <c r="Y261" i="33" s="1"/>
  <c r="CJ55" i="3"/>
  <c r="AN56" i="3"/>
  <c r="BB56" i="3" s="1"/>
  <c r="AO56" i="3"/>
  <c r="AV56" i="3"/>
  <c r="AX56" i="3"/>
  <c r="M309" i="33" s="1"/>
  <c r="BF56" i="3"/>
  <c r="BG56" i="3"/>
  <c r="Q68" i="33" s="1"/>
  <c r="BH56" i="3"/>
  <c r="T309" i="33" s="1"/>
  <c r="BP56" i="3"/>
  <c r="BQ56" i="3"/>
  <c r="X68" i="33" s="1"/>
  <c r="BR56" i="3"/>
  <c r="AA309" i="33" s="1"/>
  <c r="BZ56" i="3"/>
  <c r="CB56" i="3"/>
  <c r="AH309" i="33" s="1"/>
  <c r="CE56" i="3"/>
  <c r="K309" i="33" s="1"/>
  <c r="CG56" i="3"/>
  <c r="R309" i="33" s="1"/>
  <c r="CH56" i="3"/>
  <c r="R68" i="33" s="1"/>
  <c r="S68" i="33" s="1"/>
  <c r="CI56" i="3"/>
  <c r="Y309" i="33" s="1"/>
  <c r="CJ56" i="3"/>
  <c r="Y68" i="33" s="1"/>
  <c r="Z68" i="33" s="1"/>
  <c r="AN76" i="3"/>
  <c r="BL76" i="3" s="1"/>
  <c r="AO76" i="3"/>
  <c r="AV76" i="3"/>
  <c r="AW76" i="3"/>
  <c r="J88" i="33" s="1"/>
  <c r="AX76" i="3"/>
  <c r="M313" i="33" s="1"/>
  <c r="N313" i="33" s="1"/>
  <c r="BF76" i="3"/>
  <c r="BH76" i="3"/>
  <c r="T313" i="33" s="1"/>
  <c r="U313" i="33" s="1"/>
  <c r="V313" i="33" s="1"/>
  <c r="BP76" i="3"/>
  <c r="BQ76" i="3"/>
  <c r="BR76" i="3"/>
  <c r="AA313" i="33" s="1"/>
  <c r="AB313" i="33" s="1"/>
  <c r="AC313" i="33" s="1"/>
  <c r="BZ76" i="3"/>
  <c r="CA76" i="3"/>
  <c r="CB76" i="3"/>
  <c r="AH313" i="33" s="1"/>
  <c r="AI313" i="33" s="1"/>
  <c r="CE76" i="3"/>
  <c r="K313" i="33" s="1"/>
  <c r="CF76" i="3"/>
  <c r="K88" i="33" s="1"/>
  <c r="CG76" i="3"/>
  <c r="R313" i="33" s="1"/>
  <c r="S313" i="33" s="1"/>
  <c r="CI76" i="3"/>
  <c r="Y313" i="33" s="1"/>
  <c r="CJ76" i="3"/>
  <c r="Y88" i="33" s="1"/>
  <c r="AI98" i="33" l="1"/>
  <c r="BV52" i="3"/>
  <c r="BL52" i="3"/>
  <c r="AN17" i="38"/>
  <c r="AL17" i="38"/>
  <c r="AK17" i="38"/>
  <c r="AM17" i="38"/>
  <c r="AF14" i="38"/>
  <c r="AE14" i="38"/>
  <c r="AD14" i="38"/>
  <c r="AH14" i="38"/>
  <c r="AG14" i="38"/>
  <c r="AN16" i="38"/>
  <c r="AM16" i="38"/>
  <c r="AL16" i="38"/>
  <c r="AK16" i="38"/>
  <c r="AJ16" i="38"/>
  <c r="AU9" i="38"/>
  <c r="AT9" i="38"/>
  <c r="AR9" i="38"/>
  <c r="AQ9" i="38"/>
  <c r="P8" i="38"/>
  <c r="P9" i="38"/>
  <c r="P14" i="38"/>
  <c r="V9" i="38"/>
  <c r="AV8" i="38"/>
  <c r="AX8" i="38" s="1"/>
  <c r="AI8" i="38"/>
  <c r="AV9" i="38"/>
  <c r="V8" i="38"/>
  <c r="AC8" i="38"/>
  <c r="AI9" i="38"/>
  <c r="H8" i="38"/>
  <c r="D8" i="38"/>
  <c r="E8" i="38"/>
  <c r="G8" i="38"/>
  <c r="F8" i="38"/>
  <c r="N256" i="33"/>
  <c r="O256" i="33" s="1"/>
  <c r="I8" i="38" s="1"/>
  <c r="J8" i="38" s="1"/>
  <c r="N261" i="33"/>
  <c r="O261" i="33" s="1"/>
  <c r="N309" i="33"/>
  <c r="L309" i="33"/>
  <c r="C14" i="38" s="1"/>
  <c r="AI309" i="33"/>
  <c r="AV10" i="38" s="1"/>
  <c r="AB309" i="33"/>
  <c r="U309" i="33"/>
  <c r="BI76" i="3"/>
  <c r="V88" i="33" s="1"/>
  <c r="BC76" i="3"/>
  <c r="CM76" i="3" s="1"/>
  <c r="CC56" i="3"/>
  <c r="AH68" i="33" s="1"/>
  <c r="AI68" i="33" s="1"/>
  <c r="AS56" i="3"/>
  <c r="CM56" i="3" s="1"/>
  <c r="BI51" i="3"/>
  <c r="BL51" i="3"/>
  <c r="AR51" i="3"/>
  <c r="BI56" i="3"/>
  <c r="T68" i="33" s="1"/>
  <c r="U68" i="33" s="1"/>
  <c r="V68"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8" i="33" s="1"/>
  <c r="AB68" i="33" s="1"/>
  <c r="AC68" i="33" s="1"/>
  <c r="AY55" i="3"/>
  <c r="BS53" i="3"/>
  <c r="BV51" i="3"/>
  <c r="AR50" i="3"/>
  <c r="CC55" i="3"/>
  <c r="BS76" i="3"/>
  <c r="AC88" i="33" s="1"/>
  <c r="CC76" i="3"/>
  <c r="AY56" i="3"/>
  <c r="M68" i="33" s="1"/>
  <c r="BL55" i="3"/>
  <c r="BV54" i="3"/>
  <c r="AY53" i="3"/>
  <c r="BB55" i="3"/>
  <c r="BI55" i="3"/>
  <c r="AR52" i="3"/>
  <c r="BB52" i="3"/>
  <c r="AY76" i="3"/>
  <c r="BX12" i="29"/>
  <c r="AF219" i="33" s="1"/>
  <c r="AG219" i="33" s="1"/>
  <c r="BV12" i="29"/>
  <c r="Y219" i="33" s="1"/>
  <c r="BT12" i="29"/>
  <c r="R219" i="33" s="1"/>
  <c r="BR12" i="29"/>
  <c r="K219" i="33" s="1"/>
  <c r="BX11" i="29"/>
  <c r="AF218" i="33" s="1"/>
  <c r="AG218" i="33" s="1"/>
  <c r="BV11" i="29"/>
  <c r="Y218" i="33" s="1"/>
  <c r="BT11" i="29"/>
  <c r="R218" i="33" s="1"/>
  <c r="K218" i="33"/>
  <c r="BX10" i="29"/>
  <c r="BV10" i="29"/>
  <c r="BT10" i="29"/>
  <c r="BR10" i="29"/>
  <c r="K161" i="33" s="1"/>
  <c r="L161" i="33" s="1"/>
  <c r="BO12" i="29"/>
  <c r="AH219" i="33" s="1"/>
  <c r="AI219" i="33" s="1"/>
  <c r="BM12" i="29"/>
  <c r="BO11" i="29"/>
  <c r="AH218" i="33" s="1"/>
  <c r="AI218" i="33" s="1"/>
  <c r="BM11" i="29"/>
  <c r="BM10" i="29"/>
  <c r="BE12" i="29"/>
  <c r="AA219" i="33" s="1"/>
  <c r="AB219" i="33" s="1"/>
  <c r="BC12" i="29"/>
  <c r="BE11" i="29"/>
  <c r="AA218" i="33" s="1"/>
  <c r="AB218" i="33" s="1"/>
  <c r="BC11" i="29"/>
  <c r="BC10" i="29"/>
  <c r="AU12" i="29"/>
  <c r="T219" i="33" s="1"/>
  <c r="U219" i="33" s="1"/>
  <c r="AS12" i="29"/>
  <c r="AU11" i="29"/>
  <c r="T218" i="33" s="1"/>
  <c r="U218" i="33" s="1"/>
  <c r="AS11" i="29"/>
  <c r="AS10" i="29"/>
  <c r="AK12" i="29"/>
  <c r="M219" i="33" s="1"/>
  <c r="N219" i="33" s="1"/>
  <c r="AI12" i="29"/>
  <c r="AK11" i="29"/>
  <c r="M218" i="33" s="1"/>
  <c r="N218"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BA10" i="38" l="1"/>
  <c r="AZ10" i="38"/>
  <c r="AY10" i="38"/>
  <c r="AX10" i="38"/>
  <c r="AW10" i="38"/>
  <c r="AG8" i="38"/>
  <c r="AD8" i="38"/>
  <c r="AE8" i="38"/>
  <c r="AH8" i="38"/>
  <c r="AF8" i="38"/>
  <c r="AN8" i="38"/>
  <c r="AM8" i="38"/>
  <c r="AL8" i="38"/>
  <c r="AJ8" i="38"/>
  <c r="AK8" i="38"/>
  <c r="AN9" i="38"/>
  <c r="AM9" i="38"/>
  <c r="AL9" i="38"/>
  <c r="AK9" i="38"/>
  <c r="AJ9" i="38"/>
  <c r="T14" i="38"/>
  <c r="S14" i="38"/>
  <c r="R14" i="38"/>
  <c r="Q14" i="38"/>
  <c r="U14" i="38"/>
  <c r="K217" i="33"/>
  <c r="M216" i="33"/>
  <c r="N216" i="33" s="1"/>
  <c r="Y216" i="33"/>
  <c r="AH217" i="33"/>
  <c r="AI217" i="33" s="1"/>
  <c r="R216" i="33"/>
  <c r="AA217" i="33"/>
  <c r="AB217" i="33" s="1"/>
  <c r="Y217" i="33"/>
  <c r="T216" i="33"/>
  <c r="U216" i="33" s="1"/>
  <c r="K216" i="33"/>
  <c r="R217" i="33"/>
  <c r="T217" i="33"/>
  <c r="U217" i="33" s="1"/>
  <c r="M217" i="33"/>
  <c r="N217" i="33" s="1"/>
  <c r="AF217" i="33"/>
  <c r="AG217" i="33" s="1"/>
  <c r="AA216" i="33"/>
  <c r="AB216" i="33" s="1"/>
  <c r="AW8" i="38"/>
  <c r="BA8" i="38"/>
  <c r="AV14" i="38"/>
  <c r="AY8" i="38"/>
  <c r="AZ8" i="38"/>
  <c r="AA8" i="38"/>
  <c r="Y8" i="38"/>
  <c r="W8" i="38"/>
  <c r="X8" i="38"/>
  <c r="Z8" i="38"/>
  <c r="S8" i="38"/>
  <c r="U8" i="38"/>
  <c r="T8" i="38"/>
  <c r="R8" i="38"/>
  <c r="Q8" i="38"/>
  <c r="N8" i="38"/>
  <c r="L8" i="38"/>
  <c r="M8" i="38"/>
  <c r="K8" i="38"/>
  <c r="BA9" i="38"/>
  <c r="AZ9" i="38"/>
  <c r="AW9" i="38"/>
  <c r="AX9" i="38"/>
  <c r="AY9" i="38"/>
  <c r="C10" i="38"/>
  <c r="S9" i="38"/>
  <c r="U9" i="38"/>
  <c r="Q9" i="38"/>
  <c r="R9" i="38"/>
  <c r="T9" i="38"/>
  <c r="AA9" i="38"/>
  <c r="W9" i="38"/>
  <c r="Y9" i="38"/>
  <c r="Z9" i="38"/>
  <c r="X9" i="38"/>
  <c r="N68" i="33"/>
  <c r="O68" i="33" s="1"/>
  <c r="AC309" i="33"/>
  <c r="O309" i="33"/>
  <c r="V309" i="33"/>
  <c r="AL37" i="27"/>
  <c r="BZ37" i="27"/>
  <c r="BF38" i="27"/>
  <c r="BZ38" i="27"/>
  <c r="BG76" i="3"/>
  <c r="CH76" i="3"/>
  <c r="R88" i="33" s="1"/>
  <c r="AW56" i="3"/>
  <c r="J68" i="33" s="1"/>
  <c r="CF56" i="3"/>
  <c r="K68" i="33" s="1"/>
  <c r="L68" i="33" s="1"/>
  <c r="BF37" i="27"/>
  <c r="BP37" i="27"/>
  <c r="AO38" i="27"/>
  <c r="AY38" i="27"/>
  <c r="BI38" i="27"/>
  <c r="AV38" i="27"/>
  <c r="AO11" i="29"/>
  <c r="AE11" i="29"/>
  <c r="BI11" i="29"/>
  <c r="AL38" i="27"/>
  <c r="BP38" i="27"/>
  <c r="AV37" i="27"/>
  <c r="BI37" i="27"/>
  <c r="AY37" i="27"/>
  <c r="AE37" i="27"/>
  <c r="AW14" i="38" l="1"/>
  <c r="AY14" i="38"/>
  <c r="BA14" i="38"/>
  <c r="AZ14" i="38"/>
  <c r="AX14" i="38"/>
  <c r="V10" i="38"/>
  <c r="V14" i="38"/>
  <c r="G14" i="38"/>
  <c r="F14" i="38"/>
  <c r="H14" i="38"/>
  <c r="E14" i="38"/>
  <c r="D14" i="38"/>
  <c r="F10" i="38"/>
  <c r="E10" i="38"/>
  <c r="D10" i="38"/>
  <c r="H10" i="38"/>
  <c r="G10" i="38"/>
  <c r="I10" i="38"/>
  <c r="I14" i="38"/>
  <c r="AI10" i="38"/>
  <c r="AI14" i="38"/>
  <c r="AA12" i="29"/>
  <c r="AY12" i="29" s="1"/>
  <c r="AP10" i="29"/>
  <c r="AA10" i="29"/>
  <c r="AY10" i="29" s="1"/>
  <c r="M10" i="29"/>
  <c r="Z10" i="29"/>
  <c r="AK10" i="38" l="1"/>
  <c r="AJ10" i="38"/>
  <c r="AN10" i="38"/>
  <c r="AL10" i="38"/>
  <c r="AM10" i="38"/>
  <c r="AM14" i="38"/>
  <c r="AL14" i="38"/>
  <c r="AK14" i="38"/>
  <c r="AJ14" i="38"/>
  <c r="AN14" i="38"/>
  <c r="Z14" i="38"/>
  <c r="Y14" i="38"/>
  <c r="AA14" i="38"/>
  <c r="X14" i="38"/>
  <c r="W14" i="38"/>
  <c r="Y10" i="38"/>
  <c r="AA10" i="38"/>
  <c r="Z10" i="38"/>
  <c r="W10" i="38"/>
  <c r="X10" i="38"/>
  <c r="N14" i="38"/>
  <c r="J14" i="38"/>
  <c r="M14" i="38"/>
  <c r="K14" i="38"/>
  <c r="L14" i="38"/>
  <c r="L10" i="38"/>
  <c r="K10" i="38"/>
  <c r="J10" i="38"/>
  <c r="N10" i="38"/>
  <c r="M10" i="38"/>
  <c r="BO10" i="29"/>
  <c r="AH161" i="33" s="1"/>
  <c r="AI161" i="33" s="1"/>
  <c r="BE10" i="29"/>
  <c r="AA161" i="33" s="1"/>
  <c r="AB161" i="33" s="1"/>
  <c r="AC161" i="33" s="1"/>
  <c r="AU10" i="29"/>
  <c r="T161" i="33" s="1"/>
  <c r="U161" i="33" s="1"/>
  <c r="V161" i="33" s="1"/>
  <c r="AK10" i="29"/>
  <c r="M161" i="33" s="1"/>
  <c r="N161" i="33" s="1"/>
  <c r="O161" i="33" s="1"/>
  <c r="AZ10" i="29"/>
  <c r="BD10" i="29" s="1"/>
  <c r="X32" i="33" s="1"/>
  <c r="AT10" i="29"/>
  <c r="Q32" i="33" s="1"/>
  <c r="BU10" i="29"/>
  <c r="R32" i="33" s="1"/>
  <c r="AE12" i="29"/>
  <c r="AO10" i="29"/>
  <c r="AO12" i="29"/>
  <c r="AF10" i="29"/>
  <c r="AL10" i="29"/>
  <c r="M32" i="33" s="1"/>
  <c r="N32" i="33" s="1"/>
  <c r="O32" i="33" s="1"/>
  <c r="AV10" i="29"/>
  <c r="T32" i="33" s="1"/>
  <c r="U32" i="33" s="1"/>
  <c r="V32" i="33" s="1"/>
  <c r="BF10" i="29"/>
  <c r="AA32" i="33" s="1"/>
  <c r="AB32" i="33" s="1"/>
  <c r="AC32" i="33" s="1"/>
  <c r="BP10" i="29"/>
  <c r="AH32" i="33" s="1"/>
  <c r="AI32" i="33" s="1"/>
  <c r="AE10" i="29"/>
  <c r="BI10" i="29"/>
  <c r="BJ10" i="29"/>
  <c r="BI12" i="29"/>
  <c r="S32" i="33" l="1"/>
  <c r="BW10" i="29"/>
  <c r="Y32" i="33" s="1"/>
  <c r="BZ10" i="29"/>
  <c r="AJ10" i="29"/>
  <c r="J32" i="33" s="1"/>
  <c r="BS10" i="29"/>
  <c r="K32" i="33" s="1"/>
  <c r="L32" i="33" s="1"/>
  <c r="BN10" i="29"/>
  <c r="AE32" i="33" s="1"/>
  <c r="BY10" i="29"/>
  <c r="AF32" i="33" s="1"/>
  <c r="Z32" i="33" l="1"/>
  <c r="AG32" i="33"/>
  <c r="BX20" i="29"/>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7" i="33" s="1"/>
  <c r="AA17" i="29"/>
  <c r="AO17" i="29" s="1"/>
  <c r="BY16" i="29"/>
  <c r="BX16" i="29"/>
  <c r="AF163" i="33" s="1"/>
  <c r="AG163" i="33" s="1"/>
  <c r="BW16" i="29"/>
  <c r="BV16" i="29"/>
  <c r="Y163" i="33" s="1"/>
  <c r="Z163" i="33" s="1"/>
  <c r="BU16" i="29"/>
  <c r="BT16" i="29"/>
  <c r="R163" i="33" s="1"/>
  <c r="S163" i="33" s="1"/>
  <c r="BS16" i="29"/>
  <c r="BR16" i="29"/>
  <c r="K163" i="33" s="1"/>
  <c r="L163" i="33" s="1"/>
  <c r="BO16" i="29"/>
  <c r="AH163" i="33" s="1"/>
  <c r="AI163" i="33" s="1"/>
  <c r="BN16" i="29"/>
  <c r="BM16" i="29"/>
  <c r="BE16" i="29"/>
  <c r="AA163" i="33" s="1"/>
  <c r="AB163" i="33" s="1"/>
  <c r="AC163" i="33" s="1"/>
  <c r="BD16" i="29"/>
  <c r="BC16" i="29"/>
  <c r="AU16" i="29"/>
  <c r="T163" i="33" s="1"/>
  <c r="U163" i="33" s="1"/>
  <c r="V163" i="33" s="1"/>
  <c r="AT16" i="29"/>
  <c r="AS16" i="29"/>
  <c r="AK16" i="29"/>
  <c r="M163" i="33" s="1"/>
  <c r="N163" i="33" s="1"/>
  <c r="O163" i="33" s="1"/>
  <c r="AJ16" i="29"/>
  <c r="AI16" i="29"/>
  <c r="AB16" i="29"/>
  <c r="AA16" i="29"/>
  <c r="AE16" i="29" s="1"/>
  <c r="BY15" i="29"/>
  <c r="BX15" i="29"/>
  <c r="AF36" i="33" s="1"/>
  <c r="AG36" i="33" s="1"/>
  <c r="BW15" i="29"/>
  <c r="BV15" i="29"/>
  <c r="Y36" i="33" s="1"/>
  <c r="BU15" i="29"/>
  <c r="BT15" i="29"/>
  <c r="R36" i="33" s="1"/>
  <c r="BS15" i="29"/>
  <c r="K36" i="33" s="1"/>
  <c r="BR15" i="29"/>
  <c r="BO15" i="29"/>
  <c r="AH36" i="33" s="1"/>
  <c r="AI36" i="33" s="1"/>
  <c r="BM15" i="29"/>
  <c r="AS15" i="29"/>
  <c r="AK15" i="29"/>
  <c r="AI15" i="29"/>
  <c r="BI15" i="29"/>
  <c r="BY14" i="29"/>
  <c r="BX14" i="29"/>
  <c r="AF162" i="33" s="1"/>
  <c r="AG162" i="33" s="1"/>
  <c r="BW14" i="29"/>
  <c r="BV14" i="29"/>
  <c r="Y162" i="33" s="1"/>
  <c r="BU14" i="29"/>
  <c r="BT14" i="29"/>
  <c r="R162" i="33" s="1"/>
  <c r="BS14" i="29"/>
  <c r="BR14" i="29"/>
  <c r="K162" i="33" s="1"/>
  <c r="BO14" i="29"/>
  <c r="AH162" i="33" s="1"/>
  <c r="AI162" i="33" s="1"/>
  <c r="BN14" i="29"/>
  <c r="BM14" i="29"/>
  <c r="BE14" i="29"/>
  <c r="AA162" i="33" s="1"/>
  <c r="AB162" i="33" s="1"/>
  <c r="BD14" i="29"/>
  <c r="BC14" i="29"/>
  <c r="AU14" i="29"/>
  <c r="T162" i="33" s="1"/>
  <c r="U162" i="33" s="1"/>
  <c r="AT14" i="29"/>
  <c r="AS14" i="29"/>
  <c r="AK14" i="29"/>
  <c r="M162" i="33" s="1"/>
  <c r="N162" i="33" s="1"/>
  <c r="AJ14" i="29"/>
  <c r="AI14" i="29"/>
  <c r="AB14" i="29"/>
  <c r="AA14" i="29"/>
  <c r="AY14" i="29" s="1"/>
  <c r="BX9" i="29"/>
  <c r="BV9" i="29"/>
  <c r="AC10" i="35" s="1"/>
  <c r="BT9" i="29"/>
  <c r="P10" i="35" s="1"/>
  <c r="BR9" i="29"/>
  <c r="K159" i="33" s="1"/>
  <c r="L159" i="33" s="1"/>
  <c r="BO9" i="29"/>
  <c r="AH159" i="33" s="1"/>
  <c r="AI159" i="33" s="1"/>
  <c r="BM9" i="29"/>
  <c r="BE9" i="29"/>
  <c r="BC9" i="29"/>
  <c r="AU9" i="29"/>
  <c r="AS9" i="29"/>
  <c r="AK9" i="29"/>
  <c r="M159" i="33" s="1"/>
  <c r="AI9" i="29"/>
  <c r="AB9" i="29"/>
  <c r="AA9" i="29"/>
  <c r="AO9" i="29" s="1"/>
  <c r="AV15" i="29" l="1"/>
  <c r="T36" i="33" s="1"/>
  <c r="U36" i="33" s="1"/>
  <c r="BP15" i="29"/>
  <c r="AL15" i="29"/>
  <c r="M36" i="33" s="1"/>
  <c r="N36" i="33" s="1"/>
  <c r="BF15" i="29"/>
  <c r="AA36" i="33" s="1"/>
  <c r="AA159" i="33"/>
  <c r="T159" i="33"/>
  <c r="U10" i="35"/>
  <c r="T10" i="35"/>
  <c r="S10" i="35"/>
  <c r="R10" i="35"/>
  <c r="Q10" i="35"/>
  <c r="N159" i="33"/>
  <c r="O159" i="33" s="1"/>
  <c r="I10" i="35" s="1"/>
  <c r="AF10" i="35"/>
  <c r="AE10" i="35"/>
  <c r="AD10" i="35"/>
  <c r="AH10" i="35"/>
  <c r="AG10" i="35"/>
  <c r="AV10" i="35"/>
  <c r="AP10" i="35"/>
  <c r="AH221" i="33"/>
  <c r="AI221" i="33" s="1"/>
  <c r="AH37" i="33"/>
  <c r="AI37" i="33" s="1"/>
  <c r="M164" i="33"/>
  <c r="N164" i="33" s="1"/>
  <c r="O164" i="33" s="1"/>
  <c r="AF222" i="33"/>
  <c r="AG222" i="33" s="1"/>
  <c r="AF39" i="33"/>
  <c r="AG39" i="33" s="1"/>
  <c r="Y164" i="33"/>
  <c r="Z164" i="33" s="1"/>
  <c r="Y38" i="33"/>
  <c r="Z38" i="33" s="1"/>
  <c r="N37" i="33"/>
  <c r="O37" i="33" s="1"/>
  <c r="M221" i="33"/>
  <c r="N221" i="33" s="1"/>
  <c r="O221" i="33" s="1"/>
  <c r="R37" i="33"/>
  <c r="S37" i="33" s="1"/>
  <c r="R221" i="33"/>
  <c r="S221" i="33" s="1"/>
  <c r="T164" i="33"/>
  <c r="U164" i="33" s="1"/>
  <c r="V164" i="33" s="1"/>
  <c r="AF38" i="33"/>
  <c r="AG38" i="33" s="1"/>
  <c r="AF164" i="33"/>
  <c r="AG164" i="33" s="1"/>
  <c r="AA222" i="33"/>
  <c r="AB222" i="33" s="1"/>
  <c r="AC222" i="33" s="1"/>
  <c r="AH40" i="33"/>
  <c r="AI40" i="33" s="1"/>
  <c r="AH165" i="33"/>
  <c r="AI165" i="33" s="1"/>
  <c r="Y39" i="33"/>
  <c r="Z39" i="33" s="1"/>
  <c r="Y222" i="33"/>
  <c r="Z222" i="33" s="1"/>
  <c r="T222" i="33"/>
  <c r="U222" i="33" s="1"/>
  <c r="V222" i="33" s="1"/>
  <c r="Y37" i="33"/>
  <c r="Z37" i="33" s="1"/>
  <c r="Y221" i="33"/>
  <c r="Z221" i="33" s="1"/>
  <c r="K165" i="33"/>
  <c r="L165" i="33" s="1"/>
  <c r="K164" i="33"/>
  <c r="L164" i="33" s="1"/>
  <c r="C10" i="35"/>
  <c r="T221" i="33"/>
  <c r="U221" i="33" s="1"/>
  <c r="V221" i="33" s="1"/>
  <c r="AF37" i="33"/>
  <c r="AG37" i="33" s="1"/>
  <c r="AF221" i="33"/>
  <c r="AG221" i="33" s="1"/>
  <c r="AA164" i="33"/>
  <c r="AB164" i="33" s="1"/>
  <c r="AC164" i="33" s="1"/>
  <c r="AH222" i="33"/>
  <c r="AI222" i="33" s="1"/>
  <c r="AH39" i="33"/>
  <c r="AI39" i="33" s="1"/>
  <c r="M165" i="33"/>
  <c r="N165" i="33" s="1"/>
  <c r="O165" i="33" s="1"/>
  <c r="R165" i="33"/>
  <c r="S165" i="33" s="1"/>
  <c r="R40" i="33"/>
  <c r="S40" i="33" s="1"/>
  <c r="K222" i="33"/>
  <c r="L222" i="33" s="1"/>
  <c r="Y165" i="33"/>
  <c r="Z165" i="33" s="1"/>
  <c r="Y40" i="33"/>
  <c r="Z40" i="33" s="1"/>
  <c r="R38" i="33"/>
  <c r="S38" i="33" s="1"/>
  <c r="R164" i="33"/>
  <c r="S164" i="33" s="1"/>
  <c r="AA165" i="33"/>
  <c r="AB165" i="33" s="1"/>
  <c r="AC165" i="33" s="1"/>
  <c r="K221" i="33"/>
  <c r="AA221" i="33"/>
  <c r="AB221" i="33" s="1"/>
  <c r="AC221" i="33" s="1"/>
  <c r="AH38" i="33"/>
  <c r="AI38" i="33" s="1"/>
  <c r="AH164" i="33"/>
  <c r="AI164" i="33" s="1"/>
  <c r="M222" i="33"/>
  <c r="N222" i="33" s="1"/>
  <c r="O222" i="33" s="1"/>
  <c r="R222" i="33"/>
  <c r="S222" i="33" s="1"/>
  <c r="R39" i="33"/>
  <c r="S39" i="33" s="1"/>
  <c r="T165" i="33"/>
  <c r="U165" i="33" s="1"/>
  <c r="V165" i="33" s="1"/>
  <c r="AF40" i="33"/>
  <c r="AG40" i="33" s="1"/>
  <c r="AF165" i="33"/>
  <c r="AG165" i="33" s="1"/>
  <c r="AP17" i="29"/>
  <c r="AT17" i="29" s="1"/>
  <c r="AL16" i="29"/>
  <c r="BZ16" i="29"/>
  <c r="BP20" i="29"/>
  <c r="BP19" i="29"/>
  <c r="BF14" i="29"/>
  <c r="BZ14" i="29"/>
  <c r="BP18" i="29"/>
  <c r="BF18" i="29"/>
  <c r="AA38" i="33" s="1"/>
  <c r="AB38" i="33" s="1"/>
  <c r="AC38" i="33" s="1"/>
  <c r="AF20" i="29"/>
  <c r="AJ20" i="29" s="1"/>
  <c r="BF9" i="29"/>
  <c r="AA30" i="33" s="1"/>
  <c r="AF9" i="29"/>
  <c r="AF19" i="29"/>
  <c r="BS19" i="29" s="1"/>
  <c r="K39" i="33" s="1"/>
  <c r="L39" i="33" s="1"/>
  <c r="BI14" i="29"/>
  <c r="BJ18" i="29"/>
  <c r="BY18" i="29" s="1"/>
  <c r="BF19" i="29"/>
  <c r="AA39" i="33" s="1"/>
  <c r="AB39" i="33" s="1"/>
  <c r="AC39" i="33" s="1"/>
  <c r="AO14" i="29"/>
  <c r="AO16" i="29"/>
  <c r="BJ19" i="29"/>
  <c r="BN19" i="29" s="1"/>
  <c r="AV18" i="29"/>
  <c r="T38" i="33" s="1"/>
  <c r="U38" i="33" s="1"/>
  <c r="V38" i="33" s="1"/>
  <c r="AZ18" i="29"/>
  <c r="BW18" i="29" s="1"/>
  <c r="AF18" i="29"/>
  <c r="BI9" i="29"/>
  <c r="AE9" i="29"/>
  <c r="AV19" i="29"/>
  <c r="T39" i="33" s="1"/>
  <c r="U39" i="33" s="1"/>
  <c r="V39" i="33" s="1"/>
  <c r="AE15" i="29"/>
  <c r="AE18" i="29"/>
  <c r="AE19" i="29"/>
  <c r="AY15" i="29"/>
  <c r="BI16" i="29"/>
  <c r="BF20" i="29"/>
  <c r="AA40" i="33" s="1"/>
  <c r="AB40" i="33" s="1"/>
  <c r="AC40" i="33" s="1"/>
  <c r="AV16" i="29"/>
  <c r="AO15" i="29"/>
  <c r="AY16" i="29"/>
  <c r="BP16" i="29"/>
  <c r="AY17" i="29"/>
  <c r="AL18" i="29"/>
  <c r="M38" i="33" s="1"/>
  <c r="N38" i="33" s="1"/>
  <c r="O38" i="33" s="1"/>
  <c r="BI18" i="29"/>
  <c r="AZ9" i="29"/>
  <c r="BP9" i="29"/>
  <c r="AH30" i="33" s="1"/>
  <c r="AL14" i="29"/>
  <c r="AV14" i="29"/>
  <c r="AL9" i="29"/>
  <c r="M30" i="33" s="1"/>
  <c r="N30" i="33" s="1"/>
  <c r="O30" i="33" s="1"/>
  <c r="AE14" i="29"/>
  <c r="BP14" i="29"/>
  <c r="AP9" i="29"/>
  <c r="BJ9" i="29"/>
  <c r="AV9" i="29"/>
  <c r="T30" i="33" s="1"/>
  <c r="AY9" i="29"/>
  <c r="AZ17" i="29"/>
  <c r="BJ17" i="29"/>
  <c r="AV17" i="29"/>
  <c r="T37" i="33" s="1"/>
  <c r="U37" i="33" s="1"/>
  <c r="V37" i="33" s="1"/>
  <c r="BF17" i="29"/>
  <c r="AA37" i="33" s="1"/>
  <c r="AB37" i="33" s="1"/>
  <c r="AC37" i="33" s="1"/>
  <c r="AF17" i="29"/>
  <c r="AJ17" i="29" s="1"/>
  <c r="BP17" i="29"/>
  <c r="BF16" i="29"/>
  <c r="AE17" i="29"/>
  <c r="AO18" i="29"/>
  <c r="AY19" i="29"/>
  <c r="BI20" i="29"/>
  <c r="AP18" i="29"/>
  <c r="AL19" i="29"/>
  <c r="M39" i="33" s="1"/>
  <c r="N39" i="33" s="1"/>
  <c r="O39" i="33" s="1"/>
  <c r="AZ19" i="29"/>
  <c r="AV20" i="29"/>
  <c r="T40" i="33" s="1"/>
  <c r="U40" i="33" s="1"/>
  <c r="V40" i="33" s="1"/>
  <c r="BJ20" i="29"/>
  <c r="BI17" i="29"/>
  <c r="AO19" i="29"/>
  <c r="AY20" i="29"/>
  <c r="AP19" i="29"/>
  <c r="AL20" i="29"/>
  <c r="M40" i="33" s="1"/>
  <c r="N40" i="33" s="1"/>
  <c r="O40"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B30" i="33" l="1"/>
  <c r="U159" i="33"/>
  <c r="U30" i="33"/>
  <c r="AI30" i="33"/>
  <c r="AB159" i="33"/>
  <c r="AB36" i="33"/>
  <c r="BY19" i="29"/>
  <c r="L221"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5" i="33"/>
  <c r="S215" i="33" s="1"/>
  <c r="Y215" i="33"/>
  <c r="T215" i="33"/>
  <c r="U215" i="33" s="1"/>
  <c r="V215" i="33" s="1"/>
  <c r="AH215" i="33"/>
  <c r="AI215" i="33" s="1"/>
  <c r="AV9" i="35" s="1"/>
  <c r="AA215" i="33"/>
  <c r="AB215" i="33" s="1"/>
  <c r="AC215" i="33" s="1"/>
  <c r="M215" i="33"/>
  <c r="N215" i="33" s="1"/>
  <c r="AF215" i="33"/>
  <c r="AG215" i="33" s="1"/>
  <c r="K215"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40" i="33" s="1"/>
  <c r="L40" i="33" s="1"/>
  <c r="AJ19" i="29"/>
  <c r="BD18" i="29"/>
  <c r="BS18" i="29"/>
  <c r="K38" i="33" s="1"/>
  <c r="L38" i="33" s="1"/>
  <c r="AJ18" i="29"/>
  <c r="BD19" i="29"/>
  <c r="BW19" i="29"/>
  <c r="BW9" i="29"/>
  <c r="BD9" i="29"/>
  <c r="AJ9" i="29"/>
  <c r="J30" i="33" s="1"/>
  <c r="BS9" i="29"/>
  <c r="K30" i="33" s="1"/>
  <c r="L30" i="33" s="1"/>
  <c r="BU18" i="29"/>
  <c r="AT18" i="29"/>
  <c r="BU9" i="29"/>
  <c r="AT9" i="29"/>
  <c r="AT19" i="29"/>
  <c r="BU19" i="29"/>
  <c r="BN17" i="29"/>
  <c r="BY17" i="29"/>
  <c r="BU20" i="29"/>
  <c r="AT20" i="29"/>
  <c r="BW17" i="29"/>
  <c r="BD17" i="29"/>
  <c r="BS17" i="29"/>
  <c r="K37" i="33" s="1"/>
  <c r="L37" i="33" s="1"/>
  <c r="BD20" i="29"/>
  <c r="BW20" i="29"/>
  <c r="BY9" i="29"/>
  <c r="BN9" i="29"/>
  <c r="BY20" i="29"/>
  <c r="BN20" i="29"/>
  <c r="AV36" i="27"/>
  <c r="AL36" i="27"/>
  <c r="BP36" i="27"/>
  <c r="AO36" i="27"/>
  <c r="AE36" i="27"/>
  <c r="BI36" i="27"/>
  <c r="BC41" i="3"/>
  <c r="BM41" i="3"/>
  <c r="BW41" i="3"/>
  <c r="AS41" i="3"/>
  <c r="AC159" i="33" l="1"/>
  <c r="AI10" i="35" s="1"/>
  <c r="V159" i="33"/>
  <c r="V10" i="35" s="1"/>
  <c r="V30" i="33"/>
  <c r="AC30" i="33"/>
  <c r="P9" i="35"/>
  <c r="T9" i="35" s="1"/>
  <c r="V9" i="35"/>
  <c r="W9" i="35" s="1"/>
  <c r="C14" i="35"/>
  <c r="H14" i="35" s="1"/>
  <c r="AN14" i="35"/>
  <c r="AJ14" i="35"/>
  <c r="AZ7" i="36"/>
  <c r="AX7" i="36"/>
  <c r="AL14"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8" i="33" s="1"/>
  <c r="CL51" i="3"/>
  <c r="CK51" i="3"/>
  <c r="AF257" i="33" s="1"/>
  <c r="CK50" i="3"/>
  <c r="AF256" i="33" s="1"/>
  <c r="AG256" i="33" s="1"/>
  <c r="AP8" i="38" s="1"/>
  <c r="AA10" i="35" l="1"/>
  <c r="Z10" i="35"/>
  <c r="Y10" i="35"/>
  <c r="W10" i="35"/>
  <c r="X10" i="35"/>
  <c r="AK10" i="35"/>
  <c r="AN10" i="35"/>
  <c r="AM10" i="35"/>
  <c r="AL10" i="35"/>
  <c r="AJ10" i="35"/>
  <c r="S9" i="35"/>
  <c r="Q9" i="35"/>
  <c r="U9" i="35" s="1"/>
  <c r="R9" i="35"/>
  <c r="Y9" i="35"/>
  <c r="Z9" i="35"/>
  <c r="AA9" i="35"/>
  <c r="X9" i="35"/>
  <c r="D14" i="35"/>
  <c r="E14" i="35"/>
  <c r="G14" i="35"/>
  <c r="F14" i="35"/>
  <c r="AQ9" i="35"/>
  <c r="AU9" i="35"/>
  <c r="AT9" i="35"/>
  <c r="AR9" i="35"/>
  <c r="AS9" i="35"/>
  <c r="AN9" i="35"/>
  <c r="AM9" i="35"/>
  <c r="AL9" i="35"/>
  <c r="AJ9" i="35"/>
  <c r="AK9" i="35"/>
  <c r="AS8" i="38"/>
  <c r="AR8" i="38"/>
  <c r="AT8" i="38"/>
  <c r="AQ8" i="38"/>
  <c r="AU8" i="38"/>
  <c r="CK40" i="3"/>
  <c r="AF235" i="33" s="1"/>
  <c r="AG235" i="33" s="1"/>
  <c r="CI40" i="3"/>
  <c r="Y235" i="33" s="1"/>
  <c r="Z235" i="33" s="1"/>
  <c r="CG40" i="3"/>
  <c r="R235" i="33" s="1"/>
  <c r="S235" i="33" s="1"/>
  <c r="CE40" i="3"/>
  <c r="K235" i="33" s="1"/>
  <c r="L235" i="33" s="1"/>
  <c r="CB40" i="3"/>
  <c r="AH235" i="33" s="1"/>
  <c r="AI235" i="33" s="1"/>
  <c r="BZ40" i="3"/>
  <c r="BR40" i="3"/>
  <c r="AA235" i="33" s="1"/>
  <c r="AB235" i="33" s="1"/>
  <c r="AC235" i="33" s="1"/>
  <c r="BP40" i="3"/>
  <c r="BF40" i="3"/>
  <c r="AX40" i="3"/>
  <c r="M235" i="33" s="1"/>
  <c r="N235" i="33" s="1"/>
  <c r="O235" i="33" s="1"/>
  <c r="AV40" i="3"/>
  <c r="BH36" i="3"/>
  <c r="T170" i="33" s="1"/>
  <c r="U170" i="33" s="1"/>
  <c r="V170" i="33" s="1"/>
  <c r="BF36" i="3"/>
  <c r="BR36" i="3"/>
  <c r="AA170" i="33" s="1"/>
  <c r="AB170" i="33" s="1"/>
  <c r="AC170" i="33" s="1"/>
  <c r="BP36" i="3"/>
  <c r="CK36" i="3"/>
  <c r="CI36" i="3"/>
  <c r="CG36" i="3"/>
  <c r="CE36" i="3"/>
  <c r="K170" i="33" s="1"/>
  <c r="L170" i="33" s="1"/>
  <c r="CB36" i="3"/>
  <c r="AH170" i="33" s="1"/>
  <c r="AI170" i="33" s="1"/>
  <c r="BZ36" i="3"/>
  <c r="AX36" i="3"/>
  <c r="M170" i="33" s="1"/>
  <c r="AV36" i="3"/>
  <c r="CK34" i="3"/>
  <c r="AF231" i="33" s="1"/>
  <c r="AG231" i="33" s="1"/>
  <c r="CI34" i="3"/>
  <c r="Y231" i="33" s="1"/>
  <c r="Z231" i="33" s="1"/>
  <c r="CG34" i="3"/>
  <c r="R231" i="33" s="1"/>
  <c r="S231" i="33" s="1"/>
  <c r="CE34" i="3"/>
  <c r="K231" i="33" s="1"/>
  <c r="L231" i="33" s="1"/>
  <c r="CK33" i="3"/>
  <c r="AF230" i="33" s="1"/>
  <c r="AG230" i="33" s="1"/>
  <c r="CI33" i="3"/>
  <c r="Y230" i="33" s="1"/>
  <c r="Z230" i="33" s="1"/>
  <c r="CG33" i="3"/>
  <c r="R230" i="33" s="1"/>
  <c r="S230" i="33" s="1"/>
  <c r="CE33" i="3"/>
  <c r="K230" i="33" s="1"/>
  <c r="L230" i="33" s="1"/>
  <c r="CK32" i="3"/>
  <c r="AF168" i="33" s="1"/>
  <c r="AG168" i="33" s="1"/>
  <c r="CI32" i="3"/>
  <c r="Y168" i="33" s="1"/>
  <c r="Z168" i="33" s="1"/>
  <c r="CG32" i="3"/>
  <c r="R168" i="33" s="1"/>
  <c r="S168" i="33" s="1"/>
  <c r="CE32" i="3"/>
  <c r="K168" i="33" s="1"/>
  <c r="L168" i="33" s="1"/>
  <c r="CB34" i="3"/>
  <c r="AH231" i="33" s="1"/>
  <c r="AI231" i="33" s="1"/>
  <c r="BZ34" i="3"/>
  <c r="CB33" i="3"/>
  <c r="AH230" i="33" s="1"/>
  <c r="AI230" i="33" s="1"/>
  <c r="BZ33" i="3"/>
  <c r="CB32" i="3"/>
  <c r="AH168" i="33" s="1"/>
  <c r="AI168" i="33" s="1"/>
  <c r="BZ32" i="3"/>
  <c r="BR34" i="3"/>
  <c r="AA231" i="33" s="1"/>
  <c r="AB231" i="33" s="1"/>
  <c r="AC231" i="33" s="1"/>
  <c r="BP34" i="3"/>
  <c r="BR33" i="3"/>
  <c r="AA230" i="33" s="1"/>
  <c r="AB230" i="33" s="1"/>
  <c r="AC230" i="33" s="1"/>
  <c r="BP33" i="3"/>
  <c r="BR32" i="3"/>
  <c r="AA168" i="33" s="1"/>
  <c r="AB168" i="33" s="1"/>
  <c r="AC168" i="33" s="1"/>
  <c r="BP32" i="3"/>
  <c r="BH34" i="3"/>
  <c r="T231" i="33" s="1"/>
  <c r="U231" i="33" s="1"/>
  <c r="V231" i="33" s="1"/>
  <c r="BF34" i="3"/>
  <c r="BH33" i="3"/>
  <c r="T230" i="33" s="1"/>
  <c r="U230" i="33" s="1"/>
  <c r="V230" i="33" s="1"/>
  <c r="BF33" i="3"/>
  <c r="BH32" i="3"/>
  <c r="T168" i="33" s="1"/>
  <c r="U168" i="33" s="1"/>
  <c r="V168" i="33" s="1"/>
  <c r="BF32" i="3"/>
  <c r="AX34" i="3"/>
  <c r="M231" i="33" s="1"/>
  <c r="N231" i="33" s="1"/>
  <c r="O231" i="33" s="1"/>
  <c r="AV34" i="3"/>
  <c r="AX33" i="3"/>
  <c r="M230" i="33" s="1"/>
  <c r="N230" i="33" s="1"/>
  <c r="O230" i="33" s="1"/>
  <c r="AV33" i="3"/>
  <c r="AX32" i="3"/>
  <c r="M168" i="33" s="1"/>
  <c r="AV32" i="3"/>
  <c r="CK28" i="3"/>
  <c r="AF227" i="33" s="1"/>
  <c r="AG227" i="33" s="1"/>
  <c r="CI28" i="3"/>
  <c r="Y227" i="33" s="1"/>
  <c r="Z227" i="33" s="1"/>
  <c r="CG28" i="3"/>
  <c r="R227" i="33" s="1"/>
  <c r="S227" i="33" s="1"/>
  <c r="CB28" i="3"/>
  <c r="AH227" i="33" s="1"/>
  <c r="AI227" i="33" s="1"/>
  <c r="BZ28" i="3"/>
  <c r="BR28" i="3"/>
  <c r="AA227" i="33" s="1"/>
  <c r="AB227" i="33" s="1"/>
  <c r="AC227" i="33" s="1"/>
  <c r="BP28" i="3"/>
  <c r="BH40" i="3"/>
  <c r="T235" i="33" s="1"/>
  <c r="U235" i="33" s="1"/>
  <c r="V235" i="33" s="1"/>
  <c r="CE28" i="3"/>
  <c r="K227" i="33" s="1"/>
  <c r="L227" i="33" s="1"/>
  <c r="BZ27" i="3"/>
  <c r="CK27" i="3"/>
  <c r="AF226" i="33" s="1"/>
  <c r="AG226" i="33" s="1"/>
  <c r="BP27" i="3"/>
  <c r="CI27" i="3"/>
  <c r="Y226" i="33" s="1"/>
  <c r="Z226" i="33" s="1"/>
  <c r="BF27" i="3"/>
  <c r="CG27" i="3"/>
  <c r="R226" i="33" s="1"/>
  <c r="S226" i="33" s="1"/>
  <c r="AV27" i="3"/>
  <c r="CE27" i="3"/>
  <c r="K226" i="33" s="1"/>
  <c r="L226" i="33" s="1"/>
  <c r="AX27" i="3"/>
  <c r="M226" i="33" s="1"/>
  <c r="N226" i="33" s="1"/>
  <c r="O226" i="33" s="1"/>
  <c r="BH27" i="3"/>
  <c r="T226" i="33" s="1"/>
  <c r="U226" i="33" s="1"/>
  <c r="V226" i="33" s="1"/>
  <c r="BR27" i="3"/>
  <c r="AA226" i="33" s="1"/>
  <c r="AB226" i="33" s="1"/>
  <c r="AC226" i="33" s="1"/>
  <c r="CB27" i="3"/>
  <c r="AH226" i="33" s="1"/>
  <c r="AI226" i="33" s="1"/>
  <c r="N168" i="33" l="1"/>
  <c r="O168" i="33" s="1"/>
  <c r="N170" i="33"/>
  <c r="O170" i="33" s="1"/>
  <c r="BC15" i="3"/>
  <c r="BO20" i="27" l="1"/>
  <c r="BN20" i="27"/>
  <c r="BM20" i="27"/>
  <c r="BO19" i="27"/>
  <c r="BN19" i="27"/>
  <c r="BM19" i="27"/>
  <c r="BO18" i="27"/>
  <c r="BN18" i="27"/>
  <c r="BM18" i="27"/>
  <c r="BO17" i="27"/>
  <c r="BN17" i="27"/>
  <c r="BM17" i="27"/>
  <c r="AF140"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40"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40" i="33"/>
  <c r="N140" i="33" s="1"/>
  <c r="O140" i="33" s="1"/>
  <c r="AH140" i="33"/>
  <c r="AI140" i="33" s="1"/>
  <c r="AA140" i="33"/>
  <c r="AB140" i="33" s="1"/>
  <c r="AC140" i="33" s="1"/>
  <c r="Y140" i="33"/>
  <c r="Z140" i="33" s="1"/>
  <c r="R140" i="33"/>
  <c r="S140" i="33" s="1"/>
  <c r="T140" i="33"/>
  <c r="U140" i="33" s="1"/>
  <c r="V140" i="33" s="1"/>
  <c r="T209" i="33"/>
  <c r="L140" i="33"/>
  <c r="K142" i="33"/>
  <c r="L142" i="33" s="1"/>
  <c r="R139" i="33"/>
  <c r="R141" i="33"/>
  <c r="S141" i="33" s="1"/>
  <c r="T143" i="33"/>
  <c r="U143" i="33" s="1"/>
  <c r="V143" i="33" s="1"/>
  <c r="AA142" i="33"/>
  <c r="AB142" i="33" s="1"/>
  <c r="AC142" i="33" s="1"/>
  <c r="AG140" i="33"/>
  <c r="AF142" i="33"/>
  <c r="AG142" i="33" s="1"/>
  <c r="Y142" i="33"/>
  <c r="Z142" i="33" s="1"/>
  <c r="Y209" i="33"/>
  <c r="Z209" i="33" s="1"/>
  <c r="Y143" i="33"/>
  <c r="Z143" i="33" s="1"/>
  <c r="AF139" i="33"/>
  <c r="M139" i="33"/>
  <c r="AH139" i="33"/>
  <c r="M142" i="33"/>
  <c r="N142" i="33" s="1"/>
  <c r="O142" i="33" s="1"/>
  <c r="T139" i="33"/>
  <c r="T141" i="33"/>
  <c r="U141" i="33" s="1"/>
  <c r="V141" i="33" s="1"/>
  <c r="AA209" i="33"/>
  <c r="AB209" i="33" s="1"/>
  <c r="AC209" i="33" s="1"/>
  <c r="AH142" i="33"/>
  <c r="AI142" i="33" s="1"/>
  <c r="AH141" i="33"/>
  <c r="AI141" i="33" s="1"/>
  <c r="K209" i="33"/>
  <c r="K143" i="33"/>
  <c r="L143" i="33" s="1"/>
  <c r="R142" i="33"/>
  <c r="S142" i="33" s="1"/>
  <c r="Y139" i="33"/>
  <c r="Y141" i="33"/>
  <c r="Z141" i="33" s="1"/>
  <c r="AA143" i="33"/>
  <c r="AB143" i="33" s="1"/>
  <c r="AC143" i="33" s="1"/>
  <c r="AF143" i="33"/>
  <c r="AG143" i="33" s="1"/>
  <c r="R209" i="33"/>
  <c r="R143" i="33"/>
  <c r="S143" i="33" s="1"/>
  <c r="M141" i="33"/>
  <c r="N141" i="33" s="1"/>
  <c r="O141" i="33" s="1"/>
  <c r="M209" i="33"/>
  <c r="AF209" i="33"/>
  <c r="AG209" i="33" s="1"/>
  <c r="K139" i="33"/>
  <c r="K141" i="33"/>
  <c r="L141" i="33" s="1"/>
  <c r="M143" i="33"/>
  <c r="N143" i="33" s="1"/>
  <c r="O143" i="33" s="1"/>
  <c r="T142" i="33"/>
  <c r="U142" i="33" s="1"/>
  <c r="V142" i="33" s="1"/>
  <c r="AA139" i="33"/>
  <c r="AA141" i="33"/>
  <c r="AB141" i="33" s="1"/>
  <c r="AC141" i="33" s="1"/>
  <c r="AH209" i="33"/>
  <c r="AI209" i="33" s="1"/>
  <c r="AF141" i="33"/>
  <c r="AG141" i="33" s="1"/>
  <c r="AH143" i="33"/>
  <c r="AI143" i="33" s="1"/>
  <c r="BP19" i="27"/>
  <c r="BZ19" i="27"/>
  <c r="BP16" i="27"/>
  <c r="BZ16" i="27"/>
  <c r="BP18" i="27"/>
  <c r="BZ18" i="27"/>
  <c r="BF20" i="27"/>
  <c r="BZ20" i="27"/>
  <c r="BJ14" i="27"/>
  <c r="BY14" i="27" s="1"/>
  <c r="BF17" i="27"/>
  <c r="BZ17" i="27"/>
  <c r="AO16" i="27"/>
  <c r="BI16" i="27"/>
  <c r="AE17" i="27"/>
  <c r="AL16" i="27"/>
  <c r="AV14" i="27"/>
  <c r="T16" i="33" s="1"/>
  <c r="AV17" i="27"/>
  <c r="BF16" i="27"/>
  <c r="BP14" i="27"/>
  <c r="BP17" i="27"/>
  <c r="AO17" i="27"/>
  <c r="AY17" i="27"/>
  <c r="AE18" i="27"/>
  <c r="AL18" i="27"/>
  <c r="AL19" i="27"/>
  <c r="AV20" i="27"/>
  <c r="BF18" i="27"/>
  <c r="BF19" i="27"/>
  <c r="BP20" i="27"/>
  <c r="AO18" i="27"/>
  <c r="AY18" i="27"/>
  <c r="AE19" i="27"/>
  <c r="AL14" i="27"/>
  <c r="AL17" i="27"/>
  <c r="AV16" i="27"/>
  <c r="BF14" i="27"/>
  <c r="AA16" i="33" s="1"/>
  <c r="AO19" i="27"/>
  <c r="AY19" i="27"/>
  <c r="AE20" i="27"/>
  <c r="AO20" i="27"/>
  <c r="AY20" i="27"/>
  <c r="AL20" i="27"/>
  <c r="AV18" i="27"/>
  <c r="AV19" i="27"/>
  <c r="AF14" i="27"/>
  <c r="AP14" i="27"/>
  <c r="AZ14" i="27"/>
  <c r="CA14" i="27" l="1"/>
  <c r="U209" i="33"/>
  <c r="V209" i="33" s="1"/>
  <c r="S209" i="33"/>
  <c r="U139" i="33"/>
  <c r="AB139" i="33"/>
  <c r="AG139" i="33"/>
  <c r="AP6" i="35" s="1"/>
  <c r="S139" i="33"/>
  <c r="Z139" i="33"/>
  <c r="AC6" i="35" s="1"/>
  <c r="AI139" i="33"/>
  <c r="AV6" i="35" s="1"/>
  <c r="BN14" i="27"/>
  <c r="AE16" i="33" s="1"/>
  <c r="L139" i="33"/>
  <c r="L209" i="33"/>
  <c r="N209" i="33"/>
  <c r="O209" i="33" s="1"/>
  <c r="N139" i="33"/>
  <c r="AH16" i="33"/>
  <c r="AF16" i="33"/>
  <c r="AG16" i="33" s="1"/>
  <c r="M16" i="33"/>
  <c r="AB16" i="33"/>
  <c r="BZ14" i="27"/>
  <c r="BU14" i="27"/>
  <c r="AT14" i="27"/>
  <c r="BW14" i="27"/>
  <c r="BD14" i="27"/>
  <c r="BS14" i="27"/>
  <c r="AJ14" i="27"/>
  <c r="AI16" i="33" l="1"/>
  <c r="AC16" i="33"/>
  <c r="P9" i="36"/>
  <c r="C6" i="35"/>
  <c r="D6" i="35" s="1"/>
  <c r="U16" i="33"/>
  <c r="N16" i="33"/>
  <c r="AP9" i="36"/>
  <c r="P6" i="35"/>
  <c r="AV9" i="36"/>
  <c r="AC9" i="36"/>
  <c r="AC139" i="33"/>
  <c r="AI6" i="35" s="1"/>
  <c r="V139" i="33"/>
  <c r="C9" i="36"/>
  <c r="H9" i="36" s="1"/>
  <c r="O139" i="33"/>
  <c r="I6" i="35" s="1"/>
  <c r="X16" i="33"/>
  <c r="Y16" i="33"/>
  <c r="K16" i="33"/>
  <c r="R16" i="33"/>
  <c r="J16" i="33"/>
  <c r="Q16" i="33"/>
  <c r="CK140" i="3"/>
  <c r="AF296" i="33" s="1"/>
  <c r="AG296" i="33" s="1"/>
  <c r="Z16" i="33" l="1"/>
  <c r="O16" i="33"/>
  <c r="V9" i="36"/>
  <c r="S16" i="33"/>
  <c r="L16" i="33"/>
  <c r="V16" i="33"/>
  <c r="AD9" i="36"/>
  <c r="AG9" i="36"/>
  <c r="AF9" i="36"/>
  <c r="AH9" i="36"/>
  <c r="AE9" i="36"/>
  <c r="R6" i="35"/>
  <c r="T6" i="35"/>
  <c r="U6" i="35"/>
  <c r="Q6" i="35"/>
  <c r="S6" i="35"/>
  <c r="AE6" i="35"/>
  <c r="AF6" i="35"/>
  <c r="AG6" i="35"/>
  <c r="AD6" i="35"/>
  <c r="AH6" i="35"/>
  <c r="V6" i="35"/>
  <c r="AI9" i="36"/>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61" i="33" s="1"/>
  <c r="AG361" i="33" s="1"/>
  <c r="CJ48" i="3"/>
  <c r="CI48" i="3"/>
  <c r="Y361" i="33" s="1"/>
  <c r="Z361" i="33" s="1"/>
  <c r="CH48" i="3"/>
  <c r="CG48" i="3"/>
  <c r="R361" i="33" s="1"/>
  <c r="S361" i="33" s="1"/>
  <c r="CF48" i="3"/>
  <c r="CE48" i="3"/>
  <c r="K361" i="33" s="1"/>
  <c r="L361" i="33" s="1"/>
  <c r="CB48" i="3"/>
  <c r="AH361" i="33" s="1"/>
  <c r="AI361" i="33" s="1"/>
  <c r="CA48" i="3"/>
  <c r="BZ48" i="3"/>
  <c r="BR48" i="3"/>
  <c r="AA361" i="33" s="1"/>
  <c r="AB361" i="33" s="1"/>
  <c r="AC361" i="33" s="1"/>
  <c r="BQ48" i="3"/>
  <c r="BP48" i="3"/>
  <c r="BH48" i="3"/>
  <c r="T361" i="33" s="1"/>
  <c r="U361" i="33" s="1"/>
  <c r="V361" i="33" s="1"/>
  <c r="BG48" i="3"/>
  <c r="BF48" i="3"/>
  <c r="AX48" i="3"/>
  <c r="M361" i="33" s="1"/>
  <c r="AW48" i="3"/>
  <c r="AV48" i="3"/>
  <c r="CL47" i="3"/>
  <c r="CK47" i="3"/>
  <c r="AF253" i="33" s="1"/>
  <c r="CJ47" i="3"/>
  <c r="CI47" i="3"/>
  <c r="Y253" i="33" s="1"/>
  <c r="Z253" i="33" s="1"/>
  <c r="CH47" i="3"/>
  <c r="CG47" i="3"/>
  <c r="R253" i="33" s="1"/>
  <c r="CF47" i="3"/>
  <c r="CE47" i="3"/>
  <c r="K253" i="33" s="1"/>
  <c r="L253" i="33" s="1"/>
  <c r="CB47" i="3"/>
  <c r="AH253" i="33" s="1"/>
  <c r="AI253" i="33" s="1"/>
  <c r="CA47" i="3"/>
  <c r="BZ47" i="3"/>
  <c r="BR47" i="3"/>
  <c r="AA253" i="33" s="1"/>
  <c r="AB253" i="33" s="1"/>
  <c r="AC253" i="33" s="1"/>
  <c r="BQ47" i="3"/>
  <c r="BP47" i="3"/>
  <c r="BH47" i="3"/>
  <c r="T253" i="33" s="1"/>
  <c r="U253" i="33" s="1"/>
  <c r="V253" i="33" s="1"/>
  <c r="BG47" i="3"/>
  <c r="BF47" i="3"/>
  <c r="AX47" i="3"/>
  <c r="M253" i="33" s="1"/>
  <c r="AW47" i="3"/>
  <c r="AV47" i="3"/>
  <c r="CL46" i="3"/>
  <c r="CK46" i="3"/>
  <c r="AF182" i="33" s="1"/>
  <c r="AG182" i="33" s="1"/>
  <c r="CJ46" i="3"/>
  <c r="CI46" i="3"/>
  <c r="Y182" i="33" s="1"/>
  <c r="Z182" i="33" s="1"/>
  <c r="CH46" i="3"/>
  <c r="CG46" i="3"/>
  <c r="R182" i="33" s="1"/>
  <c r="S182" i="33" s="1"/>
  <c r="CF46" i="3"/>
  <c r="CE46" i="3"/>
  <c r="K182" i="33" s="1"/>
  <c r="L182" i="33" s="1"/>
  <c r="CB46" i="3"/>
  <c r="AH182" i="33" s="1"/>
  <c r="AI182" i="33" s="1"/>
  <c r="CA46" i="3"/>
  <c r="BZ46" i="3"/>
  <c r="BR46" i="3"/>
  <c r="AA182" i="33" s="1"/>
  <c r="AB182" i="33" s="1"/>
  <c r="AC182" i="33" s="1"/>
  <c r="BQ46" i="3"/>
  <c r="BP46" i="3"/>
  <c r="BH46" i="3"/>
  <c r="T182" i="33" s="1"/>
  <c r="U182" i="33" s="1"/>
  <c r="V182" i="33" s="1"/>
  <c r="BG46" i="3"/>
  <c r="BF46" i="3"/>
  <c r="M182" i="33"/>
  <c r="AW46" i="3"/>
  <c r="AV46" i="3"/>
  <c r="CL45" i="3"/>
  <c r="CK45" i="3"/>
  <c r="AF252" i="33" s="1"/>
  <c r="AG252" i="33" s="1"/>
  <c r="CJ45" i="3"/>
  <c r="CI45" i="3"/>
  <c r="Y252" i="33" s="1"/>
  <c r="Z252" i="33" s="1"/>
  <c r="CH45" i="3"/>
  <c r="CG45" i="3"/>
  <c r="R252" i="33" s="1"/>
  <c r="S252" i="33" s="1"/>
  <c r="CF45" i="3"/>
  <c r="CE45" i="3"/>
  <c r="K252" i="33" s="1"/>
  <c r="L252" i="33" s="1"/>
  <c r="CB45" i="3"/>
  <c r="AH252" i="33" s="1"/>
  <c r="AI252" i="33" s="1"/>
  <c r="CA45" i="3"/>
  <c r="BZ45" i="3"/>
  <c r="BR45" i="3"/>
  <c r="AA252" i="33" s="1"/>
  <c r="AB252" i="33" s="1"/>
  <c r="AC252" i="33" s="1"/>
  <c r="BQ45" i="3"/>
  <c r="BP45" i="3"/>
  <c r="BH45" i="3"/>
  <c r="T252" i="33" s="1"/>
  <c r="U252" i="33" s="1"/>
  <c r="V252" i="33" s="1"/>
  <c r="BG45" i="3"/>
  <c r="BF45" i="3"/>
  <c r="AX45" i="3"/>
  <c r="M252" i="33" s="1"/>
  <c r="AW45" i="3"/>
  <c r="AV45" i="3"/>
  <c r="CL44" i="3"/>
  <c r="CK44" i="3"/>
  <c r="AF251" i="33" s="1"/>
  <c r="AG251" i="33" s="1"/>
  <c r="CJ44" i="3"/>
  <c r="CI44" i="3"/>
  <c r="Y251" i="33" s="1"/>
  <c r="Z251" i="33" s="1"/>
  <c r="CH44" i="3"/>
  <c r="CG44" i="3"/>
  <c r="R251" i="33" s="1"/>
  <c r="S251" i="33" s="1"/>
  <c r="CF44" i="3"/>
  <c r="CE44" i="3"/>
  <c r="K251" i="33" s="1"/>
  <c r="L251" i="33" s="1"/>
  <c r="CB44" i="3"/>
  <c r="AH251" i="33" s="1"/>
  <c r="AI251" i="33" s="1"/>
  <c r="CA44" i="3"/>
  <c r="BZ44" i="3"/>
  <c r="BR44" i="3"/>
  <c r="AA251" i="33" s="1"/>
  <c r="AB251" i="33" s="1"/>
  <c r="AC251" i="33" s="1"/>
  <c r="BQ44" i="3"/>
  <c r="BP44" i="3"/>
  <c r="BH44" i="3"/>
  <c r="T251" i="33" s="1"/>
  <c r="U251" i="33" s="1"/>
  <c r="V251" i="33" s="1"/>
  <c r="BG44" i="3"/>
  <c r="BF44" i="3"/>
  <c r="AX44" i="3"/>
  <c r="M251"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52" i="33" l="1"/>
  <c r="O252" i="33" s="1"/>
  <c r="N361" i="33"/>
  <c r="O361" i="33" s="1"/>
  <c r="N253" i="33"/>
  <c r="O253" i="33" s="1"/>
  <c r="N251" i="33"/>
  <c r="O251" i="33" s="1"/>
  <c r="N182" i="33"/>
  <c r="O182" i="33" s="1"/>
  <c r="Y250" i="33"/>
  <c r="Z250" i="33" s="1"/>
  <c r="AC14" i="36" s="1"/>
  <c r="AF250" i="33"/>
  <c r="AG250" i="33" s="1"/>
  <c r="AP14" i="36" s="1"/>
  <c r="M250" i="33"/>
  <c r="K250" i="33"/>
  <c r="L250" i="33" s="1"/>
  <c r="C14" i="36" s="1"/>
  <c r="AA250" i="33"/>
  <c r="AB250" i="33" s="1"/>
  <c r="AC250" i="33" s="1"/>
  <c r="AI14" i="36" s="1"/>
  <c r="AH250" i="33"/>
  <c r="AI250" i="33" s="1"/>
  <c r="AV14" i="36" s="1"/>
  <c r="T250" i="33"/>
  <c r="U250" i="33" s="1"/>
  <c r="V250" i="33" s="1"/>
  <c r="V14" i="36" s="1"/>
  <c r="R250" i="33"/>
  <c r="S250"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50" i="33"/>
  <c r="O250" i="33" s="1"/>
  <c r="I14" i="36" s="1"/>
  <c r="BW9" i="28"/>
  <c r="BV9" i="28"/>
  <c r="AF237" i="33" s="1"/>
  <c r="BU9" i="28"/>
  <c r="BT9" i="28"/>
  <c r="Y237" i="33" s="1"/>
  <c r="BS9" i="28"/>
  <c r="BR9" i="28"/>
  <c r="R237" i="33" s="1"/>
  <c r="BQ9" i="28"/>
  <c r="BP9" i="28"/>
  <c r="K237" i="33" s="1"/>
  <c r="L237" i="33" s="1"/>
  <c r="BM9" i="28"/>
  <c r="AH237" i="33" s="1"/>
  <c r="AI237" i="33" s="1"/>
  <c r="BL9" i="28"/>
  <c r="BK9" i="28"/>
  <c r="BC9" i="28"/>
  <c r="AA237" i="33" s="1"/>
  <c r="AB237" i="33" s="1"/>
  <c r="AC237" i="33" s="1"/>
  <c r="BB9" i="28"/>
  <c r="BA9" i="28"/>
  <c r="AS9" i="28"/>
  <c r="T237" i="33" s="1"/>
  <c r="U237" i="33" s="1"/>
  <c r="V237" i="33" s="1"/>
  <c r="AR9" i="28"/>
  <c r="AQ9" i="28"/>
  <c r="AI9" i="28"/>
  <c r="M237" i="33" s="1"/>
  <c r="N237" i="33" s="1"/>
  <c r="O237" i="33" s="1"/>
  <c r="AH9" i="28"/>
  <c r="AG9" i="28"/>
  <c r="Z9" i="28"/>
  <c r="BN9" i="28" s="1"/>
  <c r="Y9" i="28"/>
  <c r="BG9" i="28" s="1"/>
  <c r="BW8" i="28"/>
  <c r="BV8" i="28"/>
  <c r="AF236" i="33" s="1"/>
  <c r="BU8" i="28"/>
  <c r="BT8" i="28"/>
  <c r="Y236" i="33" s="1"/>
  <c r="BS8" i="28"/>
  <c r="BR8" i="28"/>
  <c r="R236" i="33" s="1"/>
  <c r="BQ8" i="28"/>
  <c r="BP8" i="28"/>
  <c r="K236" i="33" s="1"/>
  <c r="L236" i="33" s="1"/>
  <c r="BM8" i="28"/>
  <c r="AH236" i="33" s="1"/>
  <c r="AI236" i="33" s="1"/>
  <c r="BL8" i="28"/>
  <c r="BK8" i="28"/>
  <c r="BC8" i="28"/>
  <c r="BB8" i="28"/>
  <c r="BA8" i="28"/>
  <c r="AS8" i="28"/>
  <c r="T236" i="33" s="1"/>
  <c r="U236" i="33" s="1"/>
  <c r="V236" i="33" s="1"/>
  <c r="AR8" i="28"/>
  <c r="AQ8" i="28"/>
  <c r="AI8" i="28"/>
  <c r="M236" i="33" s="1"/>
  <c r="N236" i="33" s="1"/>
  <c r="O236" i="33" s="1"/>
  <c r="AH8" i="28"/>
  <c r="AG8" i="28"/>
  <c r="Z8" i="28"/>
  <c r="BN8" i="28" s="1"/>
  <c r="Y8" i="28"/>
  <c r="BG8" i="28" s="1"/>
  <c r="AA236" i="33" l="1"/>
  <c r="AB236" i="33" s="1"/>
  <c r="AC236" i="33" s="1"/>
  <c r="K14" i="36"/>
  <c r="M14" i="36"/>
  <c r="L14" i="36"/>
  <c r="N14" i="36"/>
  <c r="J14" i="36"/>
  <c r="AW9" i="28"/>
  <c r="AC9" i="28"/>
  <c r="AJ8" i="28"/>
  <c r="BD8" i="28"/>
  <c r="AJ9" i="28"/>
  <c r="AC8" i="28"/>
  <c r="AT8" i="28"/>
  <c r="AM9" i="28"/>
  <c r="AW8" i="28"/>
  <c r="AM8" i="28"/>
  <c r="BD9" i="28"/>
  <c r="AT9" i="28"/>
  <c r="CL132" i="3" l="1"/>
  <c r="CK132" i="3"/>
  <c r="AF194" i="33" s="1"/>
  <c r="AG194" i="33" s="1"/>
  <c r="CJ132" i="3"/>
  <c r="CI132" i="3"/>
  <c r="Y194" i="33" s="1"/>
  <c r="CH132" i="3"/>
  <c r="CG132" i="3"/>
  <c r="R194" i="33" s="1"/>
  <c r="CF132" i="3"/>
  <c r="CE132" i="3"/>
  <c r="K194" i="33" s="1"/>
  <c r="CB132" i="3"/>
  <c r="AH194" i="33" s="1"/>
  <c r="AI194" i="33" s="1"/>
  <c r="CA132" i="3"/>
  <c r="BZ132" i="3"/>
  <c r="BR132" i="3"/>
  <c r="AA194" i="33" s="1"/>
  <c r="AB194" i="33" s="1"/>
  <c r="BQ132" i="3"/>
  <c r="BP132" i="3"/>
  <c r="BH132" i="3"/>
  <c r="T194" i="33" s="1"/>
  <c r="U194" i="33" s="1"/>
  <c r="BG132" i="3"/>
  <c r="BF132" i="3"/>
  <c r="AX132" i="3"/>
  <c r="M194" i="33" s="1"/>
  <c r="N194" i="33" s="1"/>
  <c r="AW132" i="3"/>
  <c r="AV132" i="3"/>
  <c r="AO132" i="3"/>
  <c r="BS132" i="3" s="1"/>
  <c r="AN132" i="3"/>
  <c r="BV132" i="3" s="1"/>
  <c r="CK131" i="3"/>
  <c r="AF193" i="33" s="1"/>
  <c r="AG193" i="33" s="1"/>
  <c r="CI131" i="3"/>
  <c r="Y193" i="33" s="1"/>
  <c r="Z193" i="33" s="1"/>
  <c r="CG131" i="3"/>
  <c r="R193" i="33" s="1"/>
  <c r="S193" i="33" s="1"/>
  <c r="CE131" i="3"/>
  <c r="K193" i="33" s="1"/>
  <c r="L193" i="33" s="1"/>
  <c r="CB131" i="3"/>
  <c r="AH193" i="33" s="1"/>
  <c r="AI193" i="33" s="1"/>
  <c r="BZ131" i="3"/>
  <c r="CL131" i="3"/>
  <c r="BR131" i="3"/>
  <c r="AA193" i="33" s="1"/>
  <c r="AB193" i="33" s="1"/>
  <c r="AC193" i="33" s="1"/>
  <c r="BP131" i="3"/>
  <c r="BH131" i="3"/>
  <c r="T193" i="33" s="1"/>
  <c r="U193" i="33" s="1"/>
  <c r="V193" i="33" s="1"/>
  <c r="BF131" i="3"/>
  <c r="AX131" i="3"/>
  <c r="M193" i="33" s="1"/>
  <c r="AV131" i="3"/>
  <c r="AW131" i="3"/>
  <c r="AO131" i="3"/>
  <c r="CC131" i="3" s="1"/>
  <c r="AN131" i="3"/>
  <c r="BB131" i="3" s="1"/>
  <c r="CK130" i="3"/>
  <c r="AF192" i="33" s="1"/>
  <c r="CI130" i="3"/>
  <c r="Y192" i="33" s="1"/>
  <c r="Z192" i="33" s="1"/>
  <c r="CG130" i="3"/>
  <c r="R192" i="33" s="1"/>
  <c r="CE130" i="3"/>
  <c r="K192" i="33" s="1"/>
  <c r="L192" i="33" s="1"/>
  <c r="CB130" i="3"/>
  <c r="AH192" i="33" s="1"/>
  <c r="AI192" i="33" s="1"/>
  <c r="BZ130" i="3"/>
  <c r="CL130" i="3"/>
  <c r="BR130" i="3"/>
  <c r="AA192" i="33" s="1"/>
  <c r="AB192" i="33" s="1"/>
  <c r="AC192" i="33" s="1"/>
  <c r="BP130" i="3"/>
  <c r="BQ130" i="3"/>
  <c r="BH130" i="3"/>
  <c r="T192" i="33" s="1"/>
  <c r="U192" i="33" s="1"/>
  <c r="V192" i="33" s="1"/>
  <c r="BF130" i="3"/>
  <c r="AX130" i="3"/>
  <c r="M192" i="33" s="1"/>
  <c r="AW130" i="3"/>
  <c r="AV130" i="3"/>
  <c r="CF130" i="3"/>
  <c r="AO130" i="3"/>
  <c r="CC130" i="3" s="1"/>
  <c r="AN130" i="3"/>
  <c r="AR130" i="3" s="1"/>
  <c r="CK129" i="3"/>
  <c r="AF191" i="33" s="1"/>
  <c r="AG191" i="33" s="1"/>
  <c r="CI129" i="3"/>
  <c r="Y191" i="33" s="1"/>
  <c r="CG129" i="3"/>
  <c r="R191" i="33" s="1"/>
  <c r="CE129" i="3"/>
  <c r="K191" i="33" s="1"/>
  <c r="BZ129" i="3"/>
  <c r="BR129" i="3"/>
  <c r="AA191" i="33" s="1"/>
  <c r="AB191" i="33" s="1"/>
  <c r="BP129" i="3"/>
  <c r="BQ129" i="3"/>
  <c r="BH129" i="3"/>
  <c r="T191" i="33" s="1"/>
  <c r="U191" i="33" s="1"/>
  <c r="BF129" i="3"/>
  <c r="AX129" i="3"/>
  <c r="M191" i="33" s="1"/>
  <c r="AV129" i="3"/>
  <c r="AO129" i="3"/>
  <c r="AY129" i="3" s="1"/>
  <c r="AN129" i="3"/>
  <c r="BV129" i="3" s="1"/>
  <c r="CK128" i="3"/>
  <c r="AF190" i="33" s="1"/>
  <c r="AG190" i="33" s="1"/>
  <c r="CI128" i="3"/>
  <c r="Y190" i="33" s="1"/>
  <c r="Z190" i="33" s="1"/>
  <c r="CG128" i="3"/>
  <c r="R190" i="33" s="1"/>
  <c r="CE128" i="3"/>
  <c r="K190" i="33" s="1"/>
  <c r="CB128" i="3"/>
  <c r="AH190" i="33" s="1"/>
  <c r="AI190" i="33" s="1"/>
  <c r="BZ128" i="3"/>
  <c r="BR128" i="3"/>
  <c r="AA190" i="33" s="1"/>
  <c r="AB190" i="33" s="1"/>
  <c r="AC190" i="33" s="1"/>
  <c r="BP128" i="3"/>
  <c r="BH128" i="3"/>
  <c r="T190" i="33" s="1"/>
  <c r="U190" i="33" s="1"/>
  <c r="BF128" i="3"/>
  <c r="CH128" i="3"/>
  <c r="AX128" i="3"/>
  <c r="M190" i="33" s="1"/>
  <c r="N190" i="33" s="1"/>
  <c r="AV128" i="3"/>
  <c r="AO128" i="3"/>
  <c r="AN128" i="3"/>
  <c r="BB128" i="3" s="1"/>
  <c r="CK127" i="3"/>
  <c r="AF189" i="33" s="1"/>
  <c r="AG189" i="33" s="1"/>
  <c r="CI127" i="3"/>
  <c r="Y189" i="33" s="1"/>
  <c r="Z189" i="33" s="1"/>
  <c r="CG127" i="3"/>
  <c r="R189" i="33" s="1"/>
  <c r="S189" i="33" s="1"/>
  <c r="CE127" i="3"/>
  <c r="K189" i="33" s="1"/>
  <c r="L189" i="33" s="1"/>
  <c r="CB127" i="3"/>
  <c r="AH189" i="33" s="1"/>
  <c r="AI189" i="33" s="1"/>
  <c r="BZ127" i="3"/>
  <c r="CL127" i="3"/>
  <c r="BR127" i="3"/>
  <c r="AA189" i="33" s="1"/>
  <c r="AB189" i="33" s="1"/>
  <c r="AC189" i="33" s="1"/>
  <c r="BP127" i="3"/>
  <c r="BQ127" i="3"/>
  <c r="BH127" i="3"/>
  <c r="T189" i="33" s="1"/>
  <c r="U189" i="33" s="1"/>
  <c r="V189" i="33" s="1"/>
  <c r="BF127" i="3"/>
  <c r="AX127" i="3"/>
  <c r="M189" i="33" s="1"/>
  <c r="AV127" i="3"/>
  <c r="AO127" i="3"/>
  <c r="BS127" i="3" s="1"/>
  <c r="AN127" i="3"/>
  <c r="AR127" i="3" s="1"/>
  <c r="CK126" i="3"/>
  <c r="AF188" i="33" s="1"/>
  <c r="AG188" i="33" s="1"/>
  <c r="CI126" i="3"/>
  <c r="Y188" i="33" s="1"/>
  <c r="Z188" i="33" s="1"/>
  <c r="CG126" i="3"/>
  <c r="R188" i="33" s="1"/>
  <c r="S188" i="33" s="1"/>
  <c r="CE126" i="3"/>
  <c r="K188" i="33" s="1"/>
  <c r="L188" i="33" s="1"/>
  <c r="CB126" i="3"/>
  <c r="AH188" i="33" s="1"/>
  <c r="AI188" i="33" s="1"/>
  <c r="BZ126" i="3"/>
  <c r="BR126" i="3"/>
  <c r="AA188" i="33" s="1"/>
  <c r="AB188" i="33" s="1"/>
  <c r="AC188" i="33" s="1"/>
  <c r="BP126" i="3"/>
  <c r="BQ126" i="3"/>
  <c r="BH126" i="3"/>
  <c r="T188" i="33" s="1"/>
  <c r="U188" i="33" s="1"/>
  <c r="V188" i="33" s="1"/>
  <c r="BF126" i="3"/>
  <c r="AX126" i="3"/>
  <c r="M188" i="33" s="1"/>
  <c r="AV126" i="3"/>
  <c r="AO126" i="3"/>
  <c r="AY126" i="3" s="1"/>
  <c r="AN126" i="3"/>
  <c r="BV126" i="3" s="1"/>
  <c r="CK125" i="3"/>
  <c r="AF187" i="33" s="1"/>
  <c r="AG187" i="33" s="1"/>
  <c r="CI125" i="3"/>
  <c r="Y187" i="33" s="1"/>
  <c r="Z187" i="33" s="1"/>
  <c r="CG125" i="3"/>
  <c r="R187" i="33" s="1"/>
  <c r="S187" i="33" s="1"/>
  <c r="CE125" i="3"/>
  <c r="K187" i="33" s="1"/>
  <c r="L187" i="33" s="1"/>
  <c r="CB125" i="3"/>
  <c r="AH187" i="33" s="1"/>
  <c r="AI187" i="33" s="1"/>
  <c r="BZ125" i="3"/>
  <c r="BR125" i="3"/>
  <c r="AA187" i="33" s="1"/>
  <c r="AB187" i="33" s="1"/>
  <c r="AC187" i="33" s="1"/>
  <c r="BP125" i="3"/>
  <c r="BH125" i="3"/>
  <c r="T187" i="33" s="1"/>
  <c r="U187" i="33" s="1"/>
  <c r="V187" i="33" s="1"/>
  <c r="BF125" i="3"/>
  <c r="AX125" i="3"/>
  <c r="M187" i="33" s="1"/>
  <c r="AV125" i="3"/>
  <c r="AO125" i="3"/>
  <c r="AN125" i="3"/>
  <c r="BB125" i="3" s="1"/>
  <c r="CK124" i="3"/>
  <c r="AF356" i="33" s="1"/>
  <c r="AG356" i="33" s="1"/>
  <c r="CI124" i="3"/>
  <c r="Y356" i="33" s="1"/>
  <c r="Y364" i="33" s="1"/>
  <c r="Z364" i="33" s="1"/>
  <c r="AE9" i="34" s="1"/>
  <c r="CG124" i="3"/>
  <c r="R356" i="33" s="1"/>
  <c r="R364" i="33" s="1"/>
  <c r="CE124" i="3"/>
  <c r="K356" i="33" s="1"/>
  <c r="K364" i="33" s="1"/>
  <c r="CB124" i="3"/>
  <c r="AH356" i="33" s="1"/>
  <c r="AH364" i="33" s="1"/>
  <c r="BZ124" i="3"/>
  <c r="CL124" i="3"/>
  <c r="BR124" i="3"/>
  <c r="AA356" i="33" s="1"/>
  <c r="AA364" i="33" s="1"/>
  <c r="AB364" i="33" s="1"/>
  <c r="BP124" i="3"/>
  <c r="T356" i="33"/>
  <c r="T364" i="33" s="1"/>
  <c r="U364" i="33" s="1"/>
  <c r="BF124" i="3"/>
  <c r="M356" i="33"/>
  <c r="AO124" i="3"/>
  <c r="BS124" i="3" s="1"/>
  <c r="AN124" i="3"/>
  <c r="BB124" i="3" s="1"/>
  <c r="N191" i="33" l="1"/>
  <c r="S364" i="33"/>
  <c r="Q9" i="34" s="1"/>
  <c r="AP7" i="38"/>
  <c r="L364" i="33"/>
  <c r="C9" i="34" s="1"/>
  <c r="N187" i="33"/>
  <c r="O187" i="33" s="1"/>
  <c r="N356" i="33"/>
  <c r="M364" i="33"/>
  <c r="N364" i="33" s="1"/>
  <c r="N189" i="33"/>
  <c r="O189" i="33" s="1"/>
  <c r="N192" i="33"/>
  <c r="O192" i="33" s="1"/>
  <c r="AI9" i="34"/>
  <c r="AJ9" i="34"/>
  <c r="AF9" i="34"/>
  <c r="AH9" i="34"/>
  <c r="AG9" i="34"/>
  <c r="N193" i="33"/>
  <c r="O193" i="33" s="1"/>
  <c r="N188" i="33"/>
  <c r="O188" i="33" s="1"/>
  <c r="L356" i="33"/>
  <c r="C7" i="38" s="1"/>
  <c r="AI356" i="33"/>
  <c r="AI364" i="33" s="1"/>
  <c r="AY9" i="34" s="1"/>
  <c r="U356" i="33"/>
  <c r="Z356" i="33"/>
  <c r="AB356" i="33"/>
  <c r="S356"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6" i="33"/>
  <c r="AC364" i="33" s="1"/>
  <c r="AK9" i="34" s="1"/>
  <c r="V356" i="33"/>
  <c r="O356" i="33"/>
  <c r="O364"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4"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AE28" i="33" s="1"/>
  <c r="BM31" i="27"/>
  <c r="BO30" i="27"/>
  <c r="BM30" i="27"/>
  <c r="BF31" i="27"/>
  <c r="AA28" i="33" s="1"/>
  <c r="AB28" i="33" s="1"/>
  <c r="AC28" i="33" s="1"/>
  <c r="BE31" i="27"/>
  <c r="BD31" i="27"/>
  <c r="X28" i="33" s="1"/>
  <c r="BC31" i="27"/>
  <c r="BE30" i="27"/>
  <c r="BC30" i="27"/>
  <c r="AV31" i="27"/>
  <c r="T28" i="33" s="1"/>
  <c r="U28" i="33" s="1"/>
  <c r="V28" i="33" s="1"/>
  <c r="AU31" i="27"/>
  <c r="AT31" i="27"/>
  <c r="Q28" i="33" s="1"/>
  <c r="AS31" i="27"/>
  <c r="AU30" i="27"/>
  <c r="AS30" i="27"/>
  <c r="AL31" i="27"/>
  <c r="M28" i="33" s="1"/>
  <c r="N28" i="33" s="1"/>
  <c r="O28" i="33" s="1"/>
  <c r="AK31" i="27"/>
  <c r="AJ31" i="27"/>
  <c r="J28" i="33" s="1"/>
  <c r="AI31" i="27"/>
  <c r="AK30" i="27"/>
  <c r="AO14" i="27"/>
  <c r="CE140" i="3"/>
  <c r="K296" i="33" s="1"/>
  <c r="CB140" i="3"/>
  <c r="AH296" i="33" s="1"/>
  <c r="AI296" i="33" s="1"/>
  <c r="BZ140" i="3"/>
  <c r="BR140" i="3"/>
  <c r="AA296" i="33" s="1"/>
  <c r="AB296" i="33" s="1"/>
  <c r="AC296" i="33" s="1"/>
  <c r="BP140" i="3"/>
  <c r="BH140" i="3"/>
  <c r="T296" i="33" s="1"/>
  <c r="U296" i="33" s="1"/>
  <c r="BF140" i="3"/>
  <c r="AX140" i="3"/>
  <c r="M296" i="33" s="1"/>
  <c r="N296" i="33" s="1"/>
  <c r="AV140" i="3"/>
  <c r="AO140" i="3"/>
  <c r="AN140" i="3"/>
  <c r="AR140" i="3" s="1"/>
  <c r="L7" i="38" l="1"/>
  <c r="K7" i="38"/>
  <c r="M7" i="38"/>
  <c r="J7" i="38"/>
  <c r="Z9" i="34"/>
  <c r="X9" i="34"/>
  <c r="AA9" i="34"/>
  <c r="AA151" i="33"/>
  <c r="AB151" i="33" s="1"/>
  <c r="AC151" i="33" s="1"/>
  <c r="M150" i="33"/>
  <c r="N150" i="33" s="1"/>
  <c r="O150" i="33" s="1"/>
  <c r="K151" i="33"/>
  <c r="L151" i="33" s="1"/>
  <c r="M151" i="33"/>
  <c r="N151" i="33" s="1"/>
  <c r="O151" i="33" s="1"/>
  <c r="Y150" i="33"/>
  <c r="Z150" i="33" s="1"/>
  <c r="AF151" i="33"/>
  <c r="AG151" i="33" s="1"/>
  <c r="R151" i="33"/>
  <c r="S151" i="33" s="1"/>
  <c r="T151" i="33"/>
  <c r="U151" i="33" s="1"/>
  <c r="V151" i="33" s="1"/>
  <c r="AA150" i="33"/>
  <c r="AB150" i="33" s="1"/>
  <c r="AC150" i="33" s="1"/>
  <c r="R150" i="33"/>
  <c r="S150" i="33" s="1"/>
  <c r="Y151" i="33"/>
  <c r="Z151" i="33" s="1"/>
  <c r="AH151" i="33"/>
  <c r="AI151" i="33" s="1"/>
  <c r="K150" i="33"/>
  <c r="L150" i="33" s="1"/>
  <c r="AF150" i="33"/>
  <c r="AG150" i="33" s="1"/>
  <c r="AH150" i="33"/>
  <c r="AI150" i="33" s="1"/>
  <c r="T150" i="33"/>
  <c r="U150" i="33" s="1"/>
  <c r="V150" i="33" s="1"/>
  <c r="AB9" i="34"/>
  <c r="CC140" i="3"/>
  <c r="AS140" i="3"/>
  <c r="BS140" i="3"/>
  <c r="AY140" i="3"/>
  <c r="BI140" i="3"/>
  <c r="BI14" i="27"/>
  <c r="AY14" i="27"/>
  <c r="AE14" i="27"/>
  <c r="BV140" i="3"/>
  <c r="BB140" i="3"/>
  <c r="BL140" i="3"/>
  <c r="CM140" i="3" l="1"/>
  <c r="AW140" i="3"/>
  <c r="J129" i="33" s="1"/>
  <c r="CF140" i="3"/>
  <c r="K129" i="33" s="1"/>
  <c r="BG140" i="3"/>
  <c r="Q129" i="33" s="1"/>
  <c r="CH140" i="3"/>
  <c r="R129" i="33" s="1"/>
  <c r="BQ140" i="3"/>
  <c r="X129" i="33" s="1"/>
  <c r="CJ140" i="3"/>
  <c r="Y129" i="33" s="1"/>
  <c r="CA140" i="3"/>
  <c r="AE129" i="33" s="1"/>
  <c r="CL140" i="3"/>
  <c r="AF129" i="33" s="1"/>
  <c r="AB30" i="27"/>
  <c r="AA31" i="27"/>
  <c r="AE31" i="27" s="1"/>
  <c r="AA30" i="27"/>
  <c r="AO30" i="27" s="1"/>
  <c r="AB34" i="27"/>
  <c r="AA34" i="27"/>
  <c r="AB33" i="27"/>
  <c r="BZ33" i="27" s="1"/>
  <c r="AA33" i="27"/>
  <c r="AB32" i="27"/>
  <c r="BZ32" i="27" s="1"/>
  <c r="AA32" i="27"/>
  <c r="BZ34" i="27" l="1"/>
  <c r="BP34" i="27"/>
  <c r="AH29" i="33" s="1"/>
  <c r="AI29" i="33" s="1"/>
  <c r="BJ30" i="27"/>
  <c r="AF30" i="27"/>
  <c r="AP30" i="27"/>
  <c r="AZ30" i="27"/>
  <c r="BP30" i="27"/>
  <c r="AV30" i="27"/>
  <c r="BF30" i="27"/>
  <c r="AA27" i="33" s="1"/>
  <c r="AL30" i="27"/>
  <c r="AY31" i="27"/>
  <c r="AO31" i="27"/>
  <c r="BI31" i="27"/>
  <c r="AE30" i="27"/>
  <c r="BI30" i="27"/>
  <c r="AY30" i="27"/>
  <c r="AH27" i="33" l="1"/>
  <c r="AI27" i="33" s="1"/>
  <c r="T27" i="33"/>
  <c r="U27" i="33" s="1"/>
  <c r="V27" i="33" s="1"/>
  <c r="M27" i="33"/>
  <c r="N27" i="33" s="1"/>
  <c r="O27" i="33" s="1"/>
  <c r="AB27" i="33"/>
  <c r="AC27" i="33" s="1"/>
  <c r="BZ30" i="27"/>
  <c r="BU30" i="27"/>
  <c r="AT30" i="27"/>
  <c r="AJ30" i="27"/>
  <c r="BS30" i="27"/>
  <c r="BW30" i="27"/>
  <c r="BD30" i="27"/>
  <c r="BY30" i="27"/>
  <c r="BN30" i="27"/>
  <c r="AE27" i="33" s="1"/>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AO122" i="3"/>
  <c r="AO134" i="3"/>
  <c r="AO136" i="3"/>
  <c r="BW136" i="3" s="1"/>
  <c r="AO138" i="3"/>
  <c r="BS138" i="3" s="1"/>
  <c r="AO13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L9" i="3" s="1"/>
  <c r="BY35" i="27"/>
  <c r="BX35" i="27"/>
  <c r="BW35" i="27"/>
  <c r="BV35" i="27"/>
  <c r="BU35" i="27"/>
  <c r="BT35" i="27"/>
  <c r="BS35" i="27"/>
  <c r="BR35" i="27"/>
  <c r="BO35" i="27"/>
  <c r="BN35" i="27"/>
  <c r="BM35" i="27"/>
  <c r="BI35" i="27"/>
  <c r="BE35" i="27"/>
  <c r="BD35" i="27"/>
  <c r="BC35" i="27"/>
  <c r="AY35" i="27"/>
  <c r="AU35" i="27"/>
  <c r="AT35" i="27"/>
  <c r="AS35" i="27"/>
  <c r="R158" i="33" s="1"/>
  <c r="AO35" i="27"/>
  <c r="AK35" i="27"/>
  <c r="AJ35" i="27"/>
  <c r="AI35" i="27"/>
  <c r="AE35" i="27"/>
  <c r="BY34" i="27"/>
  <c r="AF29" i="33" s="1"/>
  <c r="AG29" i="33" s="1"/>
  <c r="BX34" i="27"/>
  <c r="BW34" i="27"/>
  <c r="Y29" i="33" s="1"/>
  <c r="BV34" i="27"/>
  <c r="BU34" i="27"/>
  <c r="R29" i="33" s="1"/>
  <c r="BT34" i="27"/>
  <c r="BS34" i="27"/>
  <c r="K29" i="33" s="1"/>
  <c r="BR34" i="27"/>
  <c r="BN34" i="27"/>
  <c r="AE29" i="33" s="1"/>
  <c r="BI34" i="27"/>
  <c r="BF34" i="27"/>
  <c r="AA29" i="33" s="1"/>
  <c r="AB29" i="33" s="1"/>
  <c r="BE34" i="27"/>
  <c r="BD34" i="27"/>
  <c r="X29" i="33" s="1"/>
  <c r="BC34" i="27"/>
  <c r="AY34" i="27"/>
  <c r="AV34" i="27"/>
  <c r="T29" i="33" s="1"/>
  <c r="U29" i="33" s="1"/>
  <c r="AU34" i="27"/>
  <c r="AT34" i="27"/>
  <c r="Q29" i="33" s="1"/>
  <c r="AS34" i="27"/>
  <c r="AO34" i="27"/>
  <c r="AL34" i="27"/>
  <c r="M29" i="33" s="1"/>
  <c r="N29" i="33" s="1"/>
  <c r="AK34" i="27"/>
  <c r="AJ34" i="27"/>
  <c r="J29" i="33" s="1"/>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AZ25" i="27" l="1"/>
  <c r="AP25" i="27"/>
  <c r="BW134" i="3"/>
  <c r="BM134" i="3"/>
  <c r="BC134" i="3"/>
  <c r="AS38" i="3"/>
  <c r="BS38" i="3"/>
  <c r="CM121" i="3"/>
  <c r="AO190" i="3"/>
  <c r="S158" i="33"/>
  <c r="BC135" i="3"/>
  <c r="BW135" i="3"/>
  <c r="AH211" i="33"/>
  <c r="AI211" i="33" s="1"/>
  <c r="AV8" i="35" s="1"/>
  <c r="AY8" i="35" s="1"/>
  <c r="AH149" i="33"/>
  <c r="AI149" i="33" s="1"/>
  <c r="L212" i="33"/>
  <c r="X27" i="33"/>
  <c r="M211" i="33"/>
  <c r="AA148" i="33"/>
  <c r="N212" i="33"/>
  <c r="O212" i="33" s="1"/>
  <c r="AA213" i="33"/>
  <c r="AB213" i="33" s="1"/>
  <c r="AC213" i="33" s="1"/>
  <c r="M149" i="33"/>
  <c r="N149" i="33" s="1"/>
  <c r="O149" i="33" s="1"/>
  <c r="AA152" i="33"/>
  <c r="AB152" i="33" s="1"/>
  <c r="AC152" i="33" s="1"/>
  <c r="K153" i="33"/>
  <c r="L153" i="33" s="1"/>
  <c r="R214" i="33"/>
  <c r="S214" i="33" s="1"/>
  <c r="Y27" i="33"/>
  <c r="Z27" i="33" s="1"/>
  <c r="M152" i="33"/>
  <c r="N152" i="33" s="1"/>
  <c r="O152" i="33" s="1"/>
  <c r="R211" i="33"/>
  <c r="M158" i="33"/>
  <c r="N158" i="33" s="1"/>
  <c r="O158" i="33" s="1"/>
  <c r="I13" i="35" s="1"/>
  <c r="AA158" i="33"/>
  <c r="AB158" i="33" s="1"/>
  <c r="AC158" i="33" s="1"/>
  <c r="AI13" i="35" s="1"/>
  <c r="AN13" i="35" s="1"/>
  <c r="K27" i="33"/>
  <c r="L27" i="33" s="1"/>
  <c r="K147" i="33"/>
  <c r="AH212" i="33"/>
  <c r="AI212" i="33" s="1"/>
  <c r="Y152" i="33"/>
  <c r="Z152" i="33" s="1"/>
  <c r="K211" i="33"/>
  <c r="Y213" i="33"/>
  <c r="Z213" i="33" s="1"/>
  <c r="T153" i="33"/>
  <c r="U153" i="33" s="1"/>
  <c r="V153" i="33" s="1"/>
  <c r="AH153" i="33"/>
  <c r="AI153" i="33" s="1"/>
  <c r="T211" i="33"/>
  <c r="AH148" i="33"/>
  <c r="T212" i="33"/>
  <c r="U212" i="33" s="1"/>
  <c r="V212" i="33" s="1"/>
  <c r="AH213" i="33"/>
  <c r="AI213" i="33" s="1"/>
  <c r="T149" i="33"/>
  <c r="U149" i="33" s="1"/>
  <c r="V149" i="33" s="1"/>
  <c r="M153" i="33"/>
  <c r="N153" i="33" s="1"/>
  <c r="O153" i="33" s="1"/>
  <c r="Y153" i="33"/>
  <c r="Z153" i="33" s="1"/>
  <c r="T214" i="33"/>
  <c r="U214" i="33" s="1"/>
  <c r="V214" i="33" s="1"/>
  <c r="AF214" i="33"/>
  <c r="AG214" i="33" s="1"/>
  <c r="J27" i="33"/>
  <c r="K158" i="33"/>
  <c r="L158" i="33" s="1"/>
  <c r="C13" i="35" s="1"/>
  <c r="H13" i="35" s="1"/>
  <c r="Y148" i="33"/>
  <c r="AF148" i="33"/>
  <c r="R149" i="33"/>
  <c r="S149" i="33" s="1"/>
  <c r="Y211" i="33"/>
  <c r="Z211" i="33" s="1"/>
  <c r="T152" i="33"/>
  <c r="U152" i="33" s="1"/>
  <c r="V152" i="33" s="1"/>
  <c r="AF158" i="33"/>
  <c r="AG158" i="33" s="1"/>
  <c r="AP13" i="35" s="1"/>
  <c r="AF27" i="33"/>
  <c r="AG27" i="33" s="1"/>
  <c r="AF153" i="33"/>
  <c r="AG153" i="33" s="1"/>
  <c r="AA214" i="33"/>
  <c r="AB214" i="33" s="1"/>
  <c r="AC214" i="33" s="1"/>
  <c r="Y158" i="33"/>
  <c r="Z158" i="33" s="1"/>
  <c r="AC13" i="35" s="1"/>
  <c r="AF13" i="35" s="1"/>
  <c r="AF213" i="33"/>
  <c r="AG213" i="33" s="1"/>
  <c r="K148" i="33"/>
  <c r="L148" i="33" s="1"/>
  <c r="Y149" i="33"/>
  <c r="Z149" i="33" s="1"/>
  <c r="AA211" i="33"/>
  <c r="AB211" i="33" s="1"/>
  <c r="AC211" i="33" s="1"/>
  <c r="AI8" i="35" s="1"/>
  <c r="M213" i="33"/>
  <c r="N213" i="33" s="1"/>
  <c r="O213" i="33" s="1"/>
  <c r="AA149" i="33"/>
  <c r="AB149" i="33" s="1"/>
  <c r="AC149" i="33" s="1"/>
  <c r="K152" i="33"/>
  <c r="L152" i="33" s="1"/>
  <c r="AA153" i="33"/>
  <c r="AB153" i="33" s="1"/>
  <c r="AC153" i="33" s="1"/>
  <c r="AH214" i="33"/>
  <c r="AI214" i="33" s="1"/>
  <c r="R27" i="33"/>
  <c r="S27" i="33" s="1"/>
  <c r="T148" i="33"/>
  <c r="T213" i="33"/>
  <c r="U213" i="33" s="1"/>
  <c r="V213" i="33" s="1"/>
  <c r="K214" i="33"/>
  <c r="K149" i="33"/>
  <c r="L149" i="33" s="1"/>
  <c r="R152" i="33"/>
  <c r="S152" i="33" s="1"/>
  <c r="K213" i="33"/>
  <c r="L213" i="33" s="1"/>
  <c r="AF152" i="33"/>
  <c r="AG152" i="33" s="1"/>
  <c r="M148" i="33"/>
  <c r="AA212" i="33"/>
  <c r="AB212" i="33" s="1"/>
  <c r="AC212" i="33" s="1"/>
  <c r="AF211" i="33"/>
  <c r="AG211" i="33" s="1"/>
  <c r="AP8" i="35" s="1"/>
  <c r="AR8" i="35" s="1"/>
  <c r="R148" i="33"/>
  <c r="AF212" i="33"/>
  <c r="AG212" i="33" s="1"/>
  <c r="R213" i="33"/>
  <c r="S213" i="33" s="1"/>
  <c r="AF149" i="33"/>
  <c r="AG149" i="33" s="1"/>
  <c r="AH152" i="33"/>
  <c r="AI152" i="33" s="1"/>
  <c r="R153" i="33"/>
  <c r="S153" i="33" s="1"/>
  <c r="M214" i="33"/>
  <c r="N214" i="33" s="1"/>
  <c r="Y214" i="33"/>
  <c r="Z214" i="33" s="1"/>
  <c r="T158" i="33"/>
  <c r="U158" i="33" s="1"/>
  <c r="V158" i="33" s="1"/>
  <c r="V13" i="35" s="1"/>
  <c r="Y13" i="35" s="1"/>
  <c r="AH158" i="33"/>
  <c r="AI158" i="33" s="1"/>
  <c r="AV13" i="35" s="1"/>
  <c r="Q27" i="33"/>
  <c r="BP27" i="27"/>
  <c r="AV25" i="27"/>
  <c r="BP25" i="27"/>
  <c r="AL25" i="27"/>
  <c r="BF25" i="27"/>
  <c r="AA22" i="33" s="1"/>
  <c r="AV27" i="27"/>
  <c r="BF27" i="27"/>
  <c r="AA24" i="33" s="1"/>
  <c r="BI26" i="27"/>
  <c r="BC23" i="3"/>
  <c r="AS23" i="3"/>
  <c r="BM23" i="3"/>
  <c r="BW23" i="3"/>
  <c r="BW22" i="3"/>
  <c r="AS39" i="3"/>
  <c r="BC39" i="3"/>
  <c r="BM39" i="3"/>
  <c r="BW39"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C136" i="3"/>
  <c r="BM136" i="3"/>
  <c r="AS136" i="3"/>
  <c r="AS135" i="3"/>
  <c r="BF26" i="27"/>
  <c r="AA23" i="33" s="1"/>
  <c r="BJ26" i="27"/>
  <c r="AZ26" i="27"/>
  <c r="AP26" i="27"/>
  <c r="AF26" i="27"/>
  <c r="AV29" i="27"/>
  <c r="BJ29" i="27"/>
  <c r="AZ29" i="27"/>
  <c r="AF29" i="27"/>
  <c r="AP29" i="27"/>
  <c r="BF28" i="27"/>
  <c r="AA25" i="33" s="1"/>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A26" i="33" s="1"/>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AC8" i="35" l="1"/>
  <c r="AD8" i="35" s="1"/>
  <c r="AC10" i="36"/>
  <c r="AS190" i="3"/>
  <c r="BC190" i="3"/>
  <c r="BM190" i="3"/>
  <c r="BW190" i="3"/>
  <c r="U211" i="33"/>
  <c r="V211" i="33" s="1"/>
  <c r="P13" i="35"/>
  <c r="C7" i="35"/>
  <c r="F7" i="35" s="1"/>
  <c r="S211" i="33"/>
  <c r="P10" i="36" s="1"/>
  <c r="S148" i="33"/>
  <c r="P7" i="35" s="1"/>
  <c r="Z148" i="33"/>
  <c r="U148" i="33"/>
  <c r="AI148" i="33"/>
  <c r="AV7" i="35" s="1"/>
  <c r="AY7" i="35" s="1"/>
  <c r="AG148" i="33"/>
  <c r="AP8" i="36" s="1"/>
  <c r="AB148" i="33"/>
  <c r="L211" i="33"/>
  <c r="N211" i="33"/>
  <c r="O211" i="33" s="1"/>
  <c r="L147" i="33"/>
  <c r="N148"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X13" i="35"/>
  <c r="AW8" i="35"/>
  <c r="Z13" i="35"/>
  <c r="AK8" i="35"/>
  <c r="AJ8" i="35"/>
  <c r="AM8" i="35"/>
  <c r="AN8" i="35"/>
  <c r="T24" i="33"/>
  <c r="U24" i="33" s="1"/>
  <c r="V24" i="33" s="1"/>
  <c r="T22" i="33"/>
  <c r="AJ13" i="35"/>
  <c r="T26" i="33"/>
  <c r="U26" i="33" s="1"/>
  <c r="V26" i="33" s="1"/>
  <c r="AH24" i="33"/>
  <c r="AI24" i="33" s="1"/>
  <c r="AH23" i="33"/>
  <c r="AI23" i="33" s="1"/>
  <c r="G13" i="35"/>
  <c r="N13" i="35"/>
  <c r="T23" i="33"/>
  <c r="U23" i="33" s="1"/>
  <c r="V23" i="33" s="1"/>
  <c r="AZ8" i="35"/>
  <c r="W13" i="35"/>
  <c r="C8" i="36"/>
  <c r="G8" i="36" s="1"/>
  <c r="T25" i="33"/>
  <c r="U25" i="33" s="1"/>
  <c r="V25" i="33" s="1"/>
  <c r="AH22" i="33"/>
  <c r="AH26" i="33"/>
  <c r="AI26" i="33" s="1"/>
  <c r="AH25" i="33"/>
  <c r="AI25" i="33" s="1"/>
  <c r="AL8" i="35"/>
  <c r="BA8" i="35"/>
  <c r="AX8" i="35"/>
  <c r="AQ8" i="35"/>
  <c r="AS8" i="35"/>
  <c r="AT8" i="35"/>
  <c r="AU8" i="35"/>
  <c r="M26" i="33"/>
  <c r="N26" i="33" s="1"/>
  <c r="O26" i="33" s="1"/>
  <c r="AB26" i="33"/>
  <c r="AC26" i="33" s="1"/>
  <c r="M24" i="33"/>
  <c r="N24" i="33" s="1"/>
  <c r="O24" i="33" s="1"/>
  <c r="AB24" i="33"/>
  <c r="AC24" i="33" s="1"/>
  <c r="M25" i="33"/>
  <c r="N25" i="33" s="1"/>
  <c r="O25" i="33" s="1"/>
  <c r="AB25" i="33"/>
  <c r="AC25" i="33" s="1"/>
  <c r="M22" i="33"/>
  <c r="AB22" i="33"/>
  <c r="M23" i="33"/>
  <c r="N23" i="33" s="1"/>
  <c r="O23" i="33" s="1"/>
  <c r="AB23" i="33"/>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AE22" i="33" s="1"/>
  <c r="BY25" i="27"/>
  <c r="BS25" i="27"/>
  <c r="AJ25" i="27"/>
  <c r="BU25" i="27"/>
  <c r="AT25" i="27"/>
  <c r="AL35" i="27"/>
  <c r="BP35" i="27"/>
  <c r="AV35" i="27"/>
  <c r="BF35" i="27"/>
  <c r="BD29" i="27"/>
  <c r="BW29" i="27"/>
  <c r="BU28" i="27"/>
  <c r="AT28" i="27"/>
  <c r="BY29" i="27"/>
  <c r="BN29" i="27"/>
  <c r="AE26" i="33" s="1"/>
  <c r="BD28" i="27"/>
  <c r="BW28" i="27"/>
  <c r="AJ26" i="27"/>
  <c r="BS26" i="27"/>
  <c r="BS28" i="27"/>
  <c r="AJ28" i="27"/>
  <c r="BS27" i="27"/>
  <c r="BN28" i="27"/>
  <c r="AE25" i="33" s="1"/>
  <c r="BY28" i="27"/>
  <c r="AT26" i="27"/>
  <c r="BU26" i="27"/>
  <c r="AT27" i="27"/>
  <c r="BU27" i="27"/>
  <c r="BW26" i="27"/>
  <c r="BD26" i="27"/>
  <c r="BW27" i="27"/>
  <c r="BD27" i="27"/>
  <c r="AT29" i="27"/>
  <c r="BU29" i="27"/>
  <c r="BY26" i="27"/>
  <c r="BN26" i="27"/>
  <c r="AE23" i="33" s="1"/>
  <c r="BY27" i="27"/>
  <c r="BN27" i="27"/>
  <c r="AE24" i="33" s="1"/>
  <c r="AJ29" i="27"/>
  <c r="BS29" i="27"/>
  <c r="AI22" i="33" l="1"/>
  <c r="AC22" i="33"/>
  <c r="AG8" i="35"/>
  <c r="AH8" i="35"/>
  <c r="AF8" i="35"/>
  <c r="AE8" i="35"/>
  <c r="AC7" i="35"/>
  <c r="AE7" i="35" s="1"/>
  <c r="AC8" i="36"/>
  <c r="AE8" i="36" s="1"/>
  <c r="CM190" i="3"/>
  <c r="V8" i="35"/>
  <c r="AA8" i="35" s="1"/>
  <c r="Q13" i="35"/>
  <c r="R13" i="35"/>
  <c r="U13" i="35"/>
  <c r="T13" i="35"/>
  <c r="S13" i="35"/>
  <c r="P8" i="35"/>
  <c r="U8" i="35" s="1"/>
  <c r="U22" i="33"/>
  <c r="P8" i="36"/>
  <c r="R8" i="36" s="1"/>
  <c r="N22" i="33"/>
  <c r="Q7" i="35"/>
  <c r="AV8" i="36"/>
  <c r="BA8" i="36" s="1"/>
  <c r="AC148" i="33"/>
  <c r="V148" i="33"/>
  <c r="AP7" i="35"/>
  <c r="AQ7" i="35" s="1"/>
  <c r="O148" i="33"/>
  <c r="C8" i="35"/>
  <c r="G8" i="35" s="1"/>
  <c r="I8" i="35"/>
  <c r="BA7" i="35"/>
  <c r="AX7" i="35"/>
  <c r="AZ7" i="35"/>
  <c r="AW7" i="35"/>
  <c r="S7" i="35"/>
  <c r="G7" i="35"/>
  <c r="E7" i="35"/>
  <c r="H7" i="35"/>
  <c r="D7" i="35"/>
  <c r="J26" i="33"/>
  <c r="Y24" i="33"/>
  <c r="Z24" i="33" s="1"/>
  <c r="X25" i="33"/>
  <c r="AU8" i="36"/>
  <c r="AR8" i="36"/>
  <c r="AT8" i="36"/>
  <c r="AS8" i="36"/>
  <c r="AQ8" i="36"/>
  <c r="K26" i="33"/>
  <c r="L26" i="33" s="1"/>
  <c r="X23" i="33"/>
  <c r="J24" i="33"/>
  <c r="Y22" i="33"/>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Q26" i="33"/>
  <c r="Q25" i="33"/>
  <c r="Q23" i="33"/>
  <c r="Q24" i="33"/>
  <c r="BF10" i="3"/>
  <c r="Z22" i="33" l="1"/>
  <c r="O22" i="33"/>
  <c r="AD7" i="35"/>
  <c r="AH7" i="35"/>
  <c r="AF7" i="35"/>
  <c r="AG7" i="35"/>
  <c r="Y8" i="35"/>
  <c r="Z8" i="35"/>
  <c r="W8" i="35"/>
  <c r="X8" i="35"/>
  <c r="R8" i="35"/>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1"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8" i="33" s="1"/>
  <c r="BF29" i="3"/>
  <c r="CH29" i="3"/>
  <c r="CF29" i="3"/>
  <c r="CI29" i="3"/>
  <c r="CG29" i="3"/>
  <c r="CE29" i="3"/>
  <c r="AF228" i="33" l="1"/>
  <c r="AG228" i="33" s="1"/>
  <c r="K228" i="33"/>
  <c r="L228" i="33" s="1"/>
  <c r="AH228" i="33"/>
  <c r="AI228" i="33" s="1"/>
  <c r="R228" i="33"/>
  <c r="S228" i="33" s="1"/>
  <c r="Y228" i="33"/>
  <c r="Z228" i="33" s="1"/>
  <c r="T228" i="33"/>
  <c r="U228" i="33" s="1"/>
  <c r="V228" i="33" s="1"/>
  <c r="AF48" i="33"/>
  <c r="K48" i="33"/>
  <c r="R48" i="33"/>
  <c r="AG48" i="33" l="1"/>
  <c r="S48" i="33"/>
  <c r="L48" i="33"/>
  <c r="CL139" i="3" l="1"/>
  <c r="AF132" i="33" s="1"/>
  <c r="AG132" i="33" s="1"/>
  <c r="CK139" i="3"/>
  <c r="AF297" i="33" s="1"/>
  <c r="AG297" i="33" s="1"/>
  <c r="AP15" i="38" s="1"/>
  <c r="CJ139" i="3"/>
  <c r="Y132" i="33" s="1"/>
  <c r="Z132" i="33" s="1"/>
  <c r="CI139" i="3"/>
  <c r="Y297" i="33" s="1"/>
  <c r="CH139" i="3"/>
  <c r="R132" i="33" s="1"/>
  <c r="CG139" i="3"/>
  <c r="R297" i="33" s="1"/>
  <c r="CF139" i="3"/>
  <c r="K132" i="33" s="1"/>
  <c r="CE139" i="3"/>
  <c r="K297" i="33" s="1"/>
  <c r="CL138" i="3"/>
  <c r="CK138" i="3"/>
  <c r="CJ138" i="3"/>
  <c r="Y128" i="33" s="1"/>
  <c r="CI138" i="3"/>
  <c r="CH138" i="3"/>
  <c r="R128" i="33" s="1"/>
  <c r="CG138" i="3"/>
  <c r="CF138" i="3"/>
  <c r="K128" i="33" s="1"/>
  <c r="CE138" i="3"/>
  <c r="CL136" i="3"/>
  <c r="AF131" i="33" s="1"/>
  <c r="CK136" i="3"/>
  <c r="CJ136" i="3"/>
  <c r="CI136" i="3"/>
  <c r="Y289" i="33" s="1"/>
  <c r="CH136" i="3"/>
  <c r="CG136" i="3"/>
  <c r="R289" i="33" s="1"/>
  <c r="CF136" i="3"/>
  <c r="K131" i="33" s="1"/>
  <c r="CE136" i="3"/>
  <c r="K289" i="33" s="1"/>
  <c r="CL135" i="3"/>
  <c r="AF130" i="33" s="1"/>
  <c r="AG130" i="33" s="1"/>
  <c r="CK135" i="3"/>
  <c r="AF288" i="33" s="1"/>
  <c r="AG288" i="33" s="1"/>
  <c r="CJ135" i="3"/>
  <c r="Y130" i="33" s="1"/>
  <c r="Z130" i="33" s="1"/>
  <c r="CI135" i="3"/>
  <c r="Y288" i="33" s="1"/>
  <c r="CH135" i="3"/>
  <c r="R130" i="33" s="1"/>
  <c r="CG135" i="3"/>
  <c r="R288" i="33" s="1"/>
  <c r="CF135" i="3"/>
  <c r="K130" i="33" s="1"/>
  <c r="CE135" i="3"/>
  <c r="K288" i="33" s="1"/>
  <c r="CL134" i="3"/>
  <c r="CK134" i="3"/>
  <c r="CJ134" i="3"/>
  <c r="CI134" i="3"/>
  <c r="CH134" i="3"/>
  <c r="CG134" i="3"/>
  <c r="CF134" i="3"/>
  <c r="K127" i="33" s="1"/>
  <c r="L127" i="33" s="1"/>
  <c r="CE134" i="3"/>
  <c r="K196" i="33" s="1"/>
  <c r="CL122" i="3"/>
  <c r="AF122" i="33" s="1"/>
  <c r="AG122" i="33" s="1"/>
  <c r="CK122" i="3"/>
  <c r="CJ122" i="3"/>
  <c r="Y122" i="33" s="1"/>
  <c r="Z122" i="33" s="1"/>
  <c r="CI122" i="3"/>
  <c r="CH122" i="3"/>
  <c r="R122" i="33" s="1"/>
  <c r="S122" i="33" s="1"/>
  <c r="CG122" i="3"/>
  <c r="CF122" i="3"/>
  <c r="K122" i="33" s="1"/>
  <c r="L122" i="33" s="1"/>
  <c r="CE122" i="3"/>
  <c r="CL121" i="3"/>
  <c r="CK121" i="3"/>
  <c r="CJ121" i="3"/>
  <c r="CI121" i="3"/>
  <c r="CH121" i="3"/>
  <c r="CG121" i="3"/>
  <c r="CF121" i="3"/>
  <c r="CE121" i="3"/>
  <c r="CL76" i="3"/>
  <c r="AF88" i="33" s="1"/>
  <c r="CK76" i="3"/>
  <c r="CL56" i="3"/>
  <c r="CK56" i="3"/>
  <c r="CL55" i="3"/>
  <c r="CK55" i="3"/>
  <c r="CL54" i="3"/>
  <c r="CK54" i="3"/>
  <c r="CL53" i="3"/>
  <c r="CK53" i="3"/>
  <c r="CL41" i="3"/>
  <c r="CK41" i="3"/>
  <c r="AF171" i="33" s="1"/>
  <c r="AG171" i="33" s="1"/>
  <c r="CJ41" i="3"/>
  <c r="CI41" i="3"/>
  <c r="Y171" i="33" s="1"/>
  <c r="Z171" i="33" s="1"/>
  <c r="CH41" i="3"/>
  <c r="CG41" i="3"/>
  <c r="R171" i="33" s="1"/>
  <c r="S171" i="33" s="1"/>
  <c r="CF41" i="3"/>
  <c r="CE41" i="3"/>
  <c r="K171" i="33" s="1"/>
  <c r="L171" i="33" s="1"/>
  <c r="CL39" i="3"/>
  <c r="CK39" i="3"/>
  <c r="AF234" i="33" s="1"/>
  <c r="AG234" i="33" s="1"/>
  <c r="CJ39" i="3"/>
  <c r="CI39" i="3"/>
  <c r="Y234" i="33" s="1"/>
  <c r="Z234" i="33" s="1"/>
  <c r="CH39" i="3"/>
  <c r="CG39" i="3"/>
  <c r="R234" i="33" s="1"/>
  <c r="S234" i="33" s="1"/>
  <c r="CF39" i="3"/>
  <c r="CE39" i="3"/>
  <c r="K234" i="33" s="1"/>
  <c r="L234" i="33" s="1"/>
  <c r="CL38" i="3"/>
  <c r="CK38" i="3"/>
  <c r="AF233" i="33" s="1"/>
  <c r="AG233" i="33" s="1"/>
  <c r="CJ38" i="3"/>
  <c r="CI38" i="3"/>
  <c r="Y233" i="33" s="1"/>
  <c r="Z233" i="33" s="1"/>
  <c r="CH38" i="3"/>
  <c r="CG38" i="3"/>
  <c r="R233" i="33" s="1"/>
  <c r="S233" i="33" s="1"/>
  <c r="CF38" i="3"/>
  <c r="CE38" i="3"/>
  <c r="CL35" i="3"/>
  <c r="CK35" i="3"/>
  <c r="CJ35" i="3"/>
  <c r="CI35" i="3"/>
  <c r="CH35" i="3"/>
  <c r="CG35" i="3"/>
  <c r="CF35" i="3"/>
  <c r="K54" i="33" s="1"/>
  <c r="L54" i="33" s="1"/>
  <c r="CE35" i="3"/>
  <c r="CL31" i="3"/>
  <c r="CK31" i="3"/>
  <c r="AF167" i="33" s="1"/>
  <c r="AG167" i="33" s="1"/>
  <c r="CJ31" i="3"/>
  <c r="CI31" i="3"/>
  <c r="Y167" i="33" s="1"/>
  <c r="Z167" i="33" s="1"/>
  <c r="CH31" i="3"/>
  <c r="CG31" i="3"/>
  <c r="R167" i="33" s="1"/>
  <c r="S167" i="33" s="1"/>
  <c r="CF31" i="3"/>
  <c r="CE31" i="3"/>
  <c r="K167" i="33" s="1"/>
  <c r="L167" i="33" s="1"/>
  <c r="CJ29" i="3"/>
  <c r="CL26" i="3"/>
  <c r="CK26" i="3"/>
  <c r="AF166" i="33" s="1"/>
  <c r="CJ26" i="3"/>
  <c r="CI26" i="3"/>
  <c r="Y166" i="33" s="1"/>
  <c r="CH26" i="3"/>
  <c r="CG26" i="3"/>
  <c r="R166" i="33" s="1"/>
  <c r="CF26" i="3"/>
  <c r="CE26" i="3"/>
  <c r="K166" i="33" s="1"/>
  <c r="CL25" i="3"/>
  <c r="CK25" i="3"/>
  <c r="AF225" i="33" s="1"/>
  <c r="AG225" i="33" s="1"/>
  <c r="CJ25" i="3"/>
  <c r="CI25" i="3"/>
  <c r="Y225" i="33" s="1"/>
  <c r="Z225" i="33" s="1"/>
  <c r="CH25" i="3"/>
  <c r="CG25" i="3"/>
  <c r="R225" i="33" s="1"/>
  <c r="S225" i="33" s="1"/>
  <c r="CF25" i="3"/>
  <c r="CE25" i="3"/>
  <c r="K225" i="33" s="1"/>
  <c r="L225" i="33" s="1"/>
  <c r="CL24" i="3"/>
  <c r="CK24" i="3"/>
  <c r="CJ24" i="3"/>
  <c r="CI24" i="3"/>
  <c r="Y224" i="33" s="1"/>
  <c r="CH24" i="3"/>
  <c r="CG24" i="3"/>
  <c r="R224" i="33" s="1"/>
  <c r="CF24" i="3"/>
  <c r="CE24" i="3"/>
  <c r="K224" i="33" s="1"/>
  <c r="L224" i="33" s="1"/>
  <c r="CL23" i="3"/>
  <c r="CK23" i="3"/>
  <c r="AF223" i="33" s="1"/>
  <c r="AG223" i="33" s="1"/>
  <c r="CJ23" i="3"/>
  <c r="CI23" i="3"/>
  <c r="Y223" i="33" s="1"/>
  <c r="CH23" i="3"/>
  <c r="CG23" i="3"/>
  <c r="R223" i="33" s="1"/>
  <c r="CF23" i="3"/>
  <c r="CE23" i="3"/>
  <c r="K223" i="33" s="1"/>
  <c r="CL22" i="3"/>
  <c r="CK22" i="3"/>
  <c r="CJ22" i="3"/>
  <c r="CI22" i="3"/>
  <c r="CH22" i="3"/>
  <c r="CG22" i="3"/>
  <c r="CF22" i="3"/>
  <c r="CE22" i="3"/>
  <c r="CL21" i="3"/>
  <c r="AF126" i="33" s="1"/>
  <c r="AG126" i="33" s="1"/>
  <c r="CK21" i="3"/>
  <c r="AF248" i="33" s="1"/>
  <c r="AG248" i="33" s="1"/>
  <c r="AP12" i="36" s="1"/>
  <c r="CJ21" i="3"/>
  <c r="Y126" i="33" s="1"/>
  <c r="Z126" i="33" s="1"/>
  <c r="CI21" i="3"/>
  <c r="Y248" i="33" s="1"/>
  <c r="CH21" i="3"/>
  <c r="CG21" i="3"/>
  <c r="R248" i="33" s="1"/>
  <c r="CF21" i="3"/>
  <c r="K126" i="33" s="1"/>
  <c r="CE21" i="3"/>
  <c r="K248" i="33" s="1"/>
  <c r="CL19" i="3"/>
  <c r="AF124" i="33" s="1"/>
  <c r="AG124" i="33" s="1"/>
  <c r="CK19" i="3"/>
  <c r="AF246" i="33" s="1"/>
  <c r="CJ19" i="3"/>
  <c r="Y124" i="33" s="1"/>
  <c r="Z124" i="33" s="1"/>
  <c r="CI19" i="3"/>
  <c r="Y246" i="33" s="1"/>
  <c r="Z246" i="33" s="1"/>
  <c r="AC12" i="36" s="1"/>
  <c r="CH19" i="3"/>
  <c r="CG19" i="3"/>
  <c r="R246" i="33" s="1"/>
  <c r="S246" i="33" s="1"/>
  <c r="P12" i="36" s="1"/>
  <c r="CF19" i="3"/>
  <c r="K124" i="33" s="1"/>
  <c r="CE19" i="3"/>
  <c r="K246" i="33" s="1"/>
  <c r="L246" i="33" s="1"/>
  <c r="C12" i="36" s="1"/>
  <c r="CL16" i="3"/>
  <c r="CK16" i="3"/>
  <c r="AF176" i="33" s="1"/>
  <c r="CJ16" i="3"/>
  <c r="CI16" i="3"/>
  <c r="Y176" i="33" s="1"/>
  <c r="Z176" i="33" s="1"/>
  <c r="CH16" i="3"/>
  <c r="CG16" i="3"/>
  <c r="R176" i="33" s="1"/>
  <c r="CF16" i="3"/>
  <c r="CE16" i="3"/>
  <c r="K176" i="33" s="1"/>
  <c r="CL15" i="3"/>
  <c r="CK15" i="3"/>
  <c r="AF175" i="33" s="1"/>
  <c r="CJ15" i="3"/>
  <c r="CI15" i="3"/>
  <c r="Y175" i="33" s="1"/>
  <c r="Z175" i="33" s="1"/>
  <c r="CH15" i="3"/>
  <c r="CG15" i="3"/>
  <c r="R175" i="33" s="1"/>
  <c r="CF15" i="3"/>
  <c r="CE15" i="3"/>
  <c r="K175" i="33" s="1"/>
  <c r="CL14" i="3"/>
  <c r="CK14" i="3"/>
  <c r="AF174" i="33" s="1"/>
  <c r="CJ14" i="3"/>
  <c r="CI14" i="3"/>
  <c r="Y174" i="33" s="1"/>
  <c r="Z174" i="33" s="1"/>
  <c r="CH14" i="3"/>
  <c r="CG14" i="3"/>
  <c r="R174" i="33" s="1"/>
  <c r="CF14" i="3"/>
  <c r="CE14" i="3"/>
  <c r="K174" i="33" s="1"/>
  <c r="CK11" i="3"/>
  <c r="CI11" i="3"/>
  <c r="CG11" i="3"/>
  <c r="CE11" i="3"/>
  <c r="CL10" i="3"/>
  <c r="CK10" i="3"/>
  <c r="CJ10" i="3"/>
  <c r="Y61" i="33" s="1"/>
  <c r="CI10" i="3"/>
  <c r="CH10" i="3"/>
  <c r="CG10" i="3"/>
  <c r="CF10" i="3"/>
  <c r="CE10" i="3"/>
  <c r="CB139" i="3"/>
  <c r="AH297" i="33" s="1"/>
  <c r="AI297" i="33" s="1"/>
  <c r="AV15" i="38" s="1"/>
  <c r="CA139" i="3"/>
  <c r="AE132" i="33" s="1"/>
  <c r="BZ139" i="3"/>
  <c r="CB138" i="3"/>
  <c r="CA138" i="3"/>
  <c r="AE128" i="33" s="1"/>
  <c r="BZ138" i="3"/>
  <c r="CB136" i="3"/>
  <c r="CA136" i="3"/>
  <c r="AE131" i="33" s="1"/>
  <c r="BZ136" i="3"/>
  <c r="CB135" i="3"/>
  <c r="AH288" i="33" s="1"/>
  <c r="AI288" i="33" s="1"/>
  <c r="CA135" i="3"/>
  <c r="AE130" i="33" s="1"/>
  <c r="BZ135" i="3"/>
  <c r="CB134" i="3"/>
  <c r="AH196" i="33" s="1"/>
  <c r="AI196" i="33" s="1"/>
  <c r="CA134" i="3"/>
  <c r="AE127" i="33" s="1"/>
  <c r="BZ134" i="3"/>
  <c r="CB122" i="3"/>
  <c r="CA122" i="3"/>
  <c r="AE122" i="33" s="1"/>
  <c r="BZ122" i="3"/>
  <c r="CB121" i="3"/>
  <c r="CA121" i="3"/>
  <c r="BZ121" i="3"/>
  <c r="CB41" i="3"/>
  <c r="AH171" i="33" s="1"/>
  <c r="AI171" i="33" s="1"/>
  <c r="CA41" i="3"/>
  <c r="AE59" i="33" s="1"/>
  <c r="BZ41" i="3"/>
  <c r="CB39" i="3"/>
  <c r="AH234" i="33" s="1"/>
  <c r="AI234" i="33" s="1"/>
  <c r="CA39" i="3"/>
  <c r="BZ39" i="3"/>
  <c r="AH233" i="33"/>
  <c r="AI233" i="33" s="1"/>
  <c r="CA38" i="3"/>
  <c r="BZ38" i="3"/>
  <c r="CB35" i="3"/>
  <c r="AH169" i="33" s="1"/>
  <c r="AI169" i="33" s="1"/>
  <c r="CA35" i="3"/>
  <c r="BZ35" i="3"/>
  <c r="CB31" i="3"/>
  <c r="AH167" i="33" s="1"/>
  <c r="AI167" i="33" s="1"/>
  <c r="CA31" i="3"/>
  <c r="AE50" i="33" s="1"/>
  <c r="BZ31" i="3"/>
  <c r="CA29" i="3"/>
  <c r="AE48" i="33" s="1"/>
  <c r="BZ29" i="3"/>
  <c r="CB26" i="3"/>
  <c r="AH166" i="33" s="1"/>
  <c r="CA26" i="3"/>
  <c r="AE45" i="33" s="1"/>
  <c r="BZ26" i="3"/>
  <c r="CB25" i="3"/>
  <c r="AH225" i="33" s="1"/>
  <c r="AI225" i="33" s="1"/>
  <c r="CA25" i="3"/>
  <c r="AE44" i="33" s="1"/>
  <c r="BZ25" i="3"/>
  <c r="CA24" i="3"/>
  <c r="AE43" i="33" s="1"/>
  <c r="CB23" i="3"/>
  <c r="AH223" i="33" s="1"/>
  <c r="AI223" i="33" s="1"/>
  <c r="CA23" i="3"/>
  <c r="AE42" i="33" s="1"/>
  <c r="BZ23" i="3"/>
  <c r="CA22" i="3"/>
  <c r="AE41" i="33" s="1"/>
  <c r="CB21" i="3"/>
  <c r="AH248" i="33" s="1"/>
  <c r="AI248" i="33" s="1"/>
  <c r="CA21" i="3"/>
  <c r="AE126" i="33" s="1"/>
  <c r="BZ21" i="3"/>
  <c r="CB19" i="3"/>
  <c r="AH246" i="33" s="1"/>
  <c r="AI246" i="33" s="1"/>
  <c r="CA19" i="3"/>
  <c r="AE124" i="33" s="1"/>
  <c r="BZ19" i="3"/>
  <c r="CB16" i="3"/>
  <c r="AH176" i="33" s="1"/>
  <c r="AI176" i="33" s="1"/>
  <c r="CA16" i="3"/>
  <c r="BZ16" i="3"/>
  <c r="CB15" i="3"/>
  <c r="AH175" i="33" s="1"/>
  <c r="AI175" i="33" s="1"/>
  <c r="CA15" i="3"/>
  <c r="BZ15" i="3"/>
  <c r="CB14" i="3"/>
  <c r="AH174" i="33" s="1"/>
  <c r="AI174" i="33" s="1"/>
  <c r="CA14" i="3"/>
  <c r="AE66" i="33" s="1"/>
  <c r="BZ14" i="3"/>
  <c r="CB11" i="3"/>
  <c r="AH239" i="33" s="1"/>
  <c r="AI239" i="33" s="1"/>
  <c r="BZ11" i="3"/>
  <c r="BQ10" i="3"/>
  <c r="X61" i="33" s="1"/>
  <c r="BR10" i="3"/>
  <c r="BR11" i="3"/>
  <c r="AA239" i="33" s="1"/>
  <c r="AB239" i="33" s="1"/>
  <c r="AC239" i="33" s="1"/>
  <c r="BR14" i="3"/>
  <c r="AA174" i="33" s="1"/>
  <c r="AB174" i="33" s="1"/>
  <c r="AC174" i="33" s="1"/>
  <c r="BR15" i="3"/>
  <c r="AA175" i="33" s="1"/>
  <c r="AB175" i="33" s="1"/>
  <c r="AC175" i="33" s="1"/>
  <c r="BR16" i="3"/>
  <c r="AA176" i="33" s="1"/>
  <c r="AB176" i="33" s="1"/>
  <c r="AC176" i="33" s="1"/>
  <c r="BR19" i="3"/>
  <c r="AA246" i="33" s="1"/>
  <c r="AB246" i="33" s="1"/>
  <c r="AC246" i="33" s="1"/>
  <c r="AI12" i="36" s="1"/>
  <c r="BR21" i="3"/>
  <c r="AA248" i="33" s="1"/>
  <c r="AB248" i="33" s="1"/>
  <c r="BR22" i="3"/>
  <c r="BR23" i="3"/>
  <c r="AA223" i="33" s="1"/>
  <c r="AB223" i="33" s="1"/>
  <c r="AC223" i="33" s="1"/>
  <c r="BR25" i="3"/>
  <c r="AA225" i="33" s="1"/>
  <c r="AB225" i="33" s="1"/>
  <c r="AC225" i="33" s="1"/>
  <c r="BR26" i="3"/>
  <c r="AA166" i="33" s="1"/>
  <c r="BR29" i="3"/>
  <c r="BR31" i="3"/>
  <c r="AA167" i="33" s="1"/>
  <c r="AB167" i="33" s="1"/>
  <c r="AC167" i="33" s="1"/>
  <c r="BR35" i="3"/>
  <c r="AA169" i="33" s="1"/>
  <c r="AB169" i="33" s="1"/>
  <c r="AC169" i="33" s="1"/>
  <c r="AA233" i="33"/>
  <c r="AB233" i="33" s="1"/>
  <c r="AC233" i="33" s="1"/>
  <c r="BR39" i="3"/>
  <c r="AA234" i="33" s="1"/>
  <c r="AB234" i="33" s="1"/>
  <c r="AC234" i="33" s="1"/>
  <c r="BR41" i="3"/>
  <c r="AA171" i="33" s="1"/>
  <c r="AB171" i="33" s="1"/>
  <c r="AC171" i="33" s="1"/>
  <c r="BR121" i="3"/>
  <c r="BR122" i="3"/>
  <c r="BR134" i="3"/>
  <c r="BR135" i="3"/>
  <c r="AA288" i="33" s="1"/>
  <c r="AB288" i="33" s="1"/>
  <c r="BR136" i="3"/>
  <c r="BR138" i="3"/>
  <c r="BR139" i="3"/>
  <c r="AA297" i="33" s="1"/>
  <c r="AB297" i="33" s="1"/>
  <c r="BQ14" i="3"/>
  <c r="X66" i="33" s="1"/>
  <c r="BQ15" i="3"/>
  <c r="BQ16" i="3"/>
  <c r="BQ19" i="3"/>
  <c r="X124" i="33" s="1"/>
  <c r="BQ21" i="3"/>
  <c r="X126" i="33" s="1"/>
  <c r="BQ22" i="3"/>
  <c r="X41" i="33" s="1"/>
  <c r="BQ23" i="3"/>
  <c r="X42" i="33" s="1"/>
  <c r="BQ24" i="3"/>
  <c r="X43" i="33" s="1"/>
  <c r="BQ25" i="3"/>
  <c r="X44" i="33" s="1"/>
  <c r="BQ26" i="3"/>
  <c r="X45" i="33" s="1"/>
  <c r="BQ29" i="3"/>
  <c r="X48" i="33" s="1"/>
  <c r="BQ31" i="3"/>
  <c r="X50" i="33" s="1"/>
  <c r="BQ35" i="3"/>
  <c r="BQ39" i="3"/>
  <c r="BQ41" i="3"/>
  <c r="X59" i="33" s="1"/>
  <c r="BQ121" i="3"/>
  <c r="BQ122" i="3"/>
  <c r="X122" i="33" s="1"/>
  <c r="BQ134" i="3"/>
  <c r="X127" i="33" s="1"/>
  <c r="BQ135" i="3"/>
  <c r="X130" i="33" s="1"/>
  <c r="BQ136" i="3"/>
  <c r="X131" i="33" s="1"/>
  <c r="BQ138" i="3"/>
  <c r="X128" i="33" s="1"/>
  <c r="BQ139" i="3"/>
  <c r="X132"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3" i="3"/>
  <c r="BP25" i="3"/>
  <c r="BP26" i="3"/>
  <c r="BP29" i="3"/>
  <c r="BP31" i="3"/>
  <c r="BP35" i="3"/>
  <c r="BP38" i="3"/>
  <c r="BP39" i="3"/>
  <c r="BP41" i="3"/>
  <c r="BP121" i="3"/>
  <c r="BP122" i="3"/>
  <c r="BP134" i="3"/>
  <c r="BP135" i="3"/>
  <c r="BP136" i="3"/>
  <c r="BP138" i="3"/>
  <c r="BP139" i="3"/>
  <c r="BH10" i="3"/>
  <c r="BH11" i="3"/>
  <c r="T239" i="33" s="1"/>
  <c r="BH14" i="3"/>
  <c r="T174" i="33" s="1"/>
  <c r="U174" i="33" s="1"/>
  <c r="BH15" i="3"/>
  <c r="T175" i="33" s="1"/>
  <c r="U175" i="33" s="1"/>
  <c r="BH16" i="3"/>
  <c r="T176" i="33" s="1"/>
  <c r="U176" i="33" s="1"/>
  <c r="BH19" i="3"/>
  <c r="T246" i="33" s="1"/>
  <c r="U246" i="33" s="1"/>
  <c r="V246" i="33" s="1"/>
  <c r="V12" i="36" s="1"/>
  <c r="BH21" i="3"/>
  <c r="T248" i="33" s="1"/>
  <c r="U248" i="33" s="1"/>
  <c r="BH22" i="3"/>
  <c r="BH23" i="3"/>
  <c r="T223" i="33" s="1"/>
  <c r="BH25" i="3"/>
  <c r="T225" i="33" s="1"/>
  <c r="U225" i="33" s="1"/>
  <c r="V225" i="33" s="1"/>
  <c r="BH26" i="3"/>
  <c r="T166" i="33" s="1"/>
  <c r="BH31" i="3"/>
  <c r="T167" i="33" s="1"/>
  <c r="U167" i="33" s="1"/>
  <c r="V167" i="33" s="1"/>
  <c r="BH35" i="3"/>
  <c r="T169" i="33" s="1"/>
  <c r="T233" i="33"/>
  <c r="U233" i="33" s="1"/>
  <c r="V233" i="33" s="1"/>
  <c r="BH39" i="3"/>
  <c r="T234" i="33" s="1"/>
  <c r="U234" i="33" s="1"/>
  <c r="V234" i="33" s="1"/>
  <c r="BH41" i="3"/>
  <c r="T171" i="33" s="1"/>
  <c r="U171" i="33" s="1"/>
  <c r="V171" i="33" s="1"/>
  <c r="BH121" i="3"/>
  <c r="BH122" i="3"/>
  <c r="BH134" i="3"/>
  <c r="BH135" i="3"/>
  <c r="T288" i="33" s="1"/>
  <c r="U288" i="33" s="1"/>
  <c r="BH136" i="3"/>
  <c r="BH138" i="3"/>
  <c r="BH139" i="3"/>
  <c r="T297" i="33" s="1"/>
  <c r="U297" i="33" s="1"/>
  <c r="BG10" i="3"/>
  <c r="Q61" i="33" s="1"/>
  <c r="BG14" i="3"/>
  <c r="Q66" i="33" s="1"/>
  <c r="BG15" i="3"/>
  <c r="BG16" i="3"/>
  <c r="BG21" i="3"/>
  <c r="Q126" i="33" s="1"/>
  <c r="BG22" i="3"/>
  <c r="Q41" i="33" s="1"/>
  <c r="BG23" i="3"/>
  <c r="Q42" i="33" s="1"/>
  <c r="BG24" i="3"/>
  <c r="Q43" i="33" s="1"/>
  <c r="BG25" i="3"/>
  <c r="Q44" i="33" s="1"/>
  <c r="BG26" i="3"/>
  <c r="Q45" i="33" s="1"/>
  <c r="BG31" i="3"/>
  <c r="Q50" i="33" s="1"/>
  <c r="BG35" i="3"/>
  <c r="BG38" i="3"/>
  <c r="BG39" i="3"/>
  <c r="BG41" i="3"/>
  <c r="Q59" i="33" s="1"/>
  <c r="BG121" i="3"/>
  <c r="BG122" i="3"/>
  <c r="Q122" i="33" s="1"/>
  <c r="BG134" i="3"/>
  <c r="Q127" i="33" s="1"/>
  <c r="BG135" i="3"/>
  <c r="Q130" i="33" s="1"/>
  <c r="BG136" i="3"/>
  <c r="Q131" i="33" s="1"/>
  <c r="BG138" i="3"/>
  <c r="Q128" i="33" s="1"/>
  <c r="BG139" i="3"/>
  <c r="Q132" i="33" s="1"/>
  <c r="BF11" i="3"/>
  <c r="BF14" i="3"/>
  <c r="BF15" i="3"/>
  <c r="BF16" i="3"/>
  <c r="BF19" i="3"/>
  <c r="BF21" i="3"/>
  <c r="BF22" i="3"/>
  <c r="BF23" i="3"/>
  <c r="BF25" i="3"/>
  <c r="BF26" i="3"/>
  <c r="BF31" i="3"/>
  <c r="BF35" i="3"/>
  <c r="BF38" i="3"/>
  <c r="BF39" i="3"/>
  <c r="BF41" i="3"/>
  <c r="BF121" i="3"/>
  <c r="BF122" i="3"/>
  <c r="BF134" i="3"/>
  <c r="BF135" i="3"/>
  <c r="BF136" i="3"/>
  <c r="BF138" i="3"/>
  <c r="BF139" i="3"/>
  <c r="AX11" i="3"/>
  <c r="M239" i="33" s="1"/>
  <c r="AX14" i="3"/>
  <c r="M174" i="33" s="1"/>
  <c r="N174" i="33" s="1"/>
  <c r="AX15" i="3"/>
  <c r="M175" i="33" s="1"/>
  <c r="N175" i="33" s="1"/>
  <c r="AX16" i="3"/>
  <c r="M176" i="33" s="1"/>
  <c r="N176" i="33" s="1"/>
  <c r="AX19" i="3"/>
  <c r="M246" i="33" s="1"/>
  <c r="AX21" i="3"/>
  <c r="M248" i="33" s="1"/>
  <c r="N248" i="33" s="1"/>
  <c r="AX22" i="3"/>
  <c r="AX23" i="3"/>
  <c r="M223" i="33" s="1"/>
  <c r="AX24" i="3"/>
  <c r="M224" i="33" s="1"/>
  <c r="N224" i="33" s="1"/>
  <c r="O224" i="33" s="1"/>
  <c r="AX25" i="3"/>
  <c r="M225" i="33" s="1"/>
  <c r="N225" i="33" s="1"/>
  <c r="O225" i="33" s="1"/>
  <c r="AX26" i="3"/>
  <c r="M166" i="33" s="1"/>
  <c r="AX29" i="3"/>
  <c r="AX31" i="3"/>
  <c r="M167" i="33" s="1"/>
  <c r="AX35" i="3"/>
  <c r="AX38" i="3"/>
  <c r="AX39" i="3"/>
  <c r="M234" i="33" s="1"/>
  <c r="N234" i="33" s="1"/>
  <c r="O234" i="33" s="1"/>
  <c r="AX41" i="3"/>
  <c r="M171" i="33" s="1"/>
  <c r="AX121" i="3"/>
  <c r="AX122" i="3"/>
  <c r="AX134" i="3"/>
  <c r="M196" i="33" s="1"/>
  <c r="AX135" i="3"/>
  <c r="M288" i="33" s="1"/>
  <c r="N288" i="33" s="1"/>
  <c r="AX136" i="3"/>
  <c r="M289" i="33" s="1"/>
  <c r="N289" i="33" s="1"/>
  <c r="AX138" i="3"/>
  <c r="AX139" i="3"/>
  <c r="M297" i="33" s="1"/>
  <c r="N297" i="33" s="1"/>
  <c r="AW14" i="3"/>
  <c r="J66" i="33" s="1"/>
  <c r="AW15" i="3"/>
  <c r="AW16" i="3"/>
  <c r="AW19" i="3"/>
  <c r="J124" i="33" s="1"/>
  <c r="AW21" i="3"/>
  <c r="J126" i="33" s="1"/>
  <c r="AW22" i="3"/>
  <c r="J41" i="33" s="1"/>
  <c r="AW23" i="3"/>
  <c r="J42" i="33" s="1"/>
  <c r="AW24" i="3"/>
  <c r="J43" i="33" s="1"/>
  <c r="AW25" i="3"/>
  <c r="J44" i="33" s="1"/>
  <c r="AW26" i="3"/>
  <c r="J45" i="33" s="1"/>
  <c r="AW29" i="3"/>
  <c r="J48" i="33" s="1"/>
  <c r="J50" i="33"/>
  <c r="AW35" i="3"/>
  <c r="J54" i="33" s="1"/>
  <c r="AW38" i="3"/>
  <c r="AW39" i="3"/>
  <c r="AW41" i="3"/>
  <c r="J59" i="33" s="1"/>
  <c r="AW121" i="3"/>
  <c r="AW122" i="3"/>
  <c r="J122" i="33" s="1"/>
  <c r="AW134" i="3"/>
  <c r="J127" i="33" s="1"/>
  <c r="AW135" i="3"/>
  <c r="J130" i="33" s="1"/>
  <c r="AW136" i="3"/>
  <c r="J131" i="33" s="1"/>
  <c r="AW138" i="3"/>
  <c r="J128" i="33" s="1"/>
  <c r="AW139" i="3"/>
  <c r="J132" i="33" s="1"/>
  <c r="CL9" i="3"/>
  <c r="CK9" i="3"/>
  <c r="CJ9" i="3"/>
  <c r="Y60" i="33" s="1"/>
  <c r="Z60" i="33" s="1"/>
  <c r="CI9" i="3"/>
  <c r="CH9" i="3"/>
  <c r="R60" i="33" s="1"/>
  <c r="S60" i="33" s="1"/>
  <c r="CF9" i="3"/>
  <c r="K60" i="33" s="1"/>
  <c r="CG9" i="3"/>
  <c r="CB9" i="3"/>
  <c r="CA9" i="3"/>
  <c r="AE60" i="33" s="1"/>
  <c r="BR9" i="3"/>
  <c r="BH9" i="3"/>
  <c r="BF9" i="3"/>
  <c r="BQ9" i="3"/>
  <c r="X60" i="33" s="1"/>
  <c r="BP9" i="3"/>
  <c r="BG9" i="3"/>
  <c r="Q60" i="33" s="1"/>
  <c r="AX9" i="3"/>
  <c r="AW9" i="3"/>
  <c r="J60" i="33" s="1"/>
  <c r="AV9" i="3"/>
  <c r="CB10" i="3"/>
  <c r="CA10" i="3"/>
  <c r="AE61" i="33" s="1"/>
  <c r="BZ10" i="3"/>
  <c r="AX10" i="3"/>
  <c r="M238" i="33" s="1"/>
  <c r="BS14" i="3"/>
  <c r="BS15" i="3"/>
  <c r="CC16" i="3"/>
  <c r="BS19" i="3"/>
  <c r="AA124" i="33" s="1"/>
  <c r="AB124" i="33" s="1"/>
  <c r="AC124" i="33" s="1"/>
  <c r="CC21" i="3"/>
  <c r="AH126" i="33" s="1"/>
  <c r="AI126" i="33" s="1"/>
  <c r="CC22" i="3"/>
  <c r="CC24" i="3"/>
  <c r="CC25" i="3"/>
  <c r="BS26" i="3"/>
  <c r="CC35" i="3"/>
  <c r="AH54" i="33" s="1"/>
  <c r="AI54" i="33" s="1"/>
  <c r="AY39" i="3"/>
  <c r="CC41" i="3"/>
  <c r="CC121" i="3"/>
  <c r="BS122" i="3"/>
  <c r="AA122" i="33" s="1"/>
  <c r="AB122" i="33" s="1"/>
  <c r="AC122" i="33" s="1"/>
  <c r="CC134" i="3"/>
  <c r="AH127" i="33" s="1"/>
  <c r="AI127" i="33" s="1"/>
  <c r="CC135" i="3"/>
  <c r="AH130" i="33" s="1"/>
  <c r="AI130" i="33" s="1"/>
  <c r="BI136" i="3"/>
  <c r="BS139" i="3"/>
  <c r="AA132" i="33" s="1"/>
  <c r="AB132" i="33" s="1"/>
  <c r="AC132" i="33" s="1"/>
  <c r="BI10" i="3"/>
  <c r="AY9" i="3"/>
  <c r="Z166" i="33" l="1"/>
  <c r="BA15" i="38"/>
  <c r="AZ15" i="38"/>
  <c r="AY15" i="38"/>
  <c r="AX15" i="38"/>
  <c r="AW15" i="38"/>
  <c r="AS15" i="38"/>
  <c r="AR15" i="38"/>
  <c r="AQ15" i="38"/>
  <c r="AU15" i="38"/>
  <c r="AT15" i="38"/>
  <c r="Z223" i="33"/>
  <c r="Z16" i="38"/>
  <c r="X16" i="38"/>
  <c r="W16" i="38"/>
  <c r="Y16" i="38"/>
  <c r="AA16" i="38"/>
  <c r="AV12" i="36"/>
  <c r="AY12" i="36" s="1"/>
  <c r="AV10" i="36"/>
  <c r="AP16" i="38"/>
  <c r="AP10" i="36"/>
  <c r="AS10" i="36" s="1"/>
  <c r="U169" i="33"/>
  <c r="V169" i="33" s="1"/>
  <c r="U239" i="33"/>
  <c r="U223" i="33"/>
  <c r="V223" i="33" s="1"/>
  <c r="X12" i="36"/>
  <c r="V7" i="38"/>
  <c r="U12" i="36"/>
  <c r="P7" i="38"/>
  <c r="AA196" i="33"/>
  <c r="AB196" i="33" s="1"/>
  <c r="AC196" i="33" s="1"/>
  <c r="AI10" i="36" s="1"/>
  <c r="T196" i="33"/>
  <c r="U196" i="33" s="1"/>
  <c r="V196" i="33" s="1"/>
  <c r="V10" i="36" s="1"/>
  <c r="L196" i="33"/>
  <c r="N196" i="33"/>
  <c r="S223" i="33"/>
  <c r="AI166" i="33"/>
  <c r="AG166" i="33"/>
  <c r="U166" i="33"/>
  <c r="AB166" i="33"/>
  <c r="S166" i="33"/>
  <c r="K239" i="33"/>
  <c r="L239" i="33" s="1"/>
  <c r="M228" i="33"/>
  <c r="N228" i="33" s="1"/>
  <c r="O228" i="33" s="1"/>
  <c r="AA228" i="33"/>
  <c r="N166" i="33"/>
  <c r="N223" i="33"/>
  <c r="O223" i="33" s="1"/>
  <c r="L223" i="33"/>
  <c r="AV7" i="38"/>
  <c r="BA7" i="38" s="1"/>
  <c r="AV16" i="38"/>
  <c r="AI7" i="38"/>
  <c r="U10" i="36"/>
  <c r="S10" i="36"/>
  <c r="Q10" i="36"/>
  <c r="T10" i="36"/>
  <c r="R10" i="36"/>
  <c r="AQ12" i="36"/>
  <c r="AU12" i="36"/>
  <c r="AS12" i="36"/>
  <c r="AT12" i="36"/>
  <c r="AR12" i="36"/>
  <c r="AC7" i="38"/>
  <c r="AF10" i="36"/>
  <c r="AH10" i="36"/>
  <c r="AD10" i="36"/>
  <c r="AE10" i="36"/>
  <c r="AG10" i="36"/>
  <c r="AN12" i="36"/>
  <c r="AM12" i="36"/>
  <c r="AL12" i="36"/>
  <c r="AK12" i="36"/>
  <c r="AJ12" i="36"/>
  <c r="AH12" i="36"/>
  <c r="AE12" i="36"/>
  <c r="AG12" i="36"/>
  <c r="AD12" i="36"/>
  <c r="AF12" i="36"/>
  <c r="H12" i="36"/>
  <c r="G12" i="36"/>
  <c r="D12" i="36"/>
  <c r="E12" i="36"/>
  <c r="F12" i="36"/>
  <c r="N167" i="33"/>
  <c r="O167" i="33" s="1"/>
  <c r="N246" i="33"/>
  <c r="O246" i="33" s="1"/>
  <c r="I12" i="36" s="1"/>
  <c r="N171" i="33"/>
  <c r="O171" i="33" s="1"/>
  <c r="N239" i="33"/>
  <c r="O239" i="33" s="1"/>
  <c r="R185" i="33"/>
  <c r="AF309" i="33"/>
  <c r="R184" i="33"/>
  <c r="Y184" i="33"/>
  <c r="Y185" i="33"/>
  <c r="Z185" i="33" s="1"/>
  <c r="AH184" i="33"/>
  <c r="AI184" i="33" s="1"/>
  <c r="T185" i="33"/>
  <c r="AF184" i="33"/>
  <c r="AG184" i="33" s="1"/>
  <c r="AF185" i="33"/>
  <c r="AG185" i="33" s="1"/>
  <c r="T184" i="33"/>
  <c r="U184" i="33" s="1"/>
  <c r="AA185" i="33"/>
  <c r="AB185" i="33" s="1"/>
  <c r="AC185" i="33" s="1"/>
  <c r="AF313" i="33"/>
  <c r="M185" i="33"/>
  <c r="AA184" i="33"/>
  <c r="AB184" i="33" s="1"/>
  <c r="AH185" i="33"/>
  <c r="AI185" i="33" s="1"/>
  <c r="K184" i="33"/>
  <c r="K185" i="33"/>
  <c r="L185" i="33" s="1"/>
  <c r="M184" i="33"/>
  <c r="N184" i="33" s="1"/>
  <c r="AF260" i="33"/>
  <c r="AF68" i="33"/>
  <c r="AG68" i="33" s="1"/>
  <c r="AF259" i="33"/>
  <c r="AF261" i="33"/>
  <c r="R42" i="33"/>
  <c r="S42" i="33" s="1"/>
  <c r="R44" i="33"/>
  <c r="S44" i="33" s="1"/>
  <c r="R45" i="33"/>
  <c r="S45" i="33" s="1"/>
  <c r="AH44" i="33"/>
  <c r="AI44" i="33" s="1"/>
  <c r="Y48" i="33"/>
  <c r="AF50" i="33"/>
  <c r="R57" i="33"/>
  <c r="S57" i="33" s="1"/>
  <c r="R41" i="33"/>
  <c r="R43" i="33"/>
  <c r="S43" i="33" s="1"/>
  <c r="AF59" i="33"/>
  <c r="AG59" i="33" s="1"/>
  <c r="M57" i="33"/>
  <c r="N57" i="33" s="1"/>
  <c r="O57" i="33" s="1"/>
  <c r="Y41" i="33"/>
  <c r="Y42" i="33"/>
  <c r="Z42" i="33" s="1"/>
  <c r="Y43" i="33"/>
  <c r="Z43" i="33" s="1"/>
  <c r="Y44" i="33"/>
  <c r="Z44" i="33" s="1"/>
  <c r="Y45" i="33"/>
  <c r="Z45" i="33" s="1"/>
  <c r="K59" i="33"/>
  <c r="L59" i="33" s="1"/>
  <c r="K50" i="33"/>
  <c r="Y57" i="33"/>
  <c r="Z57" i="33" s="1"/>
  <c r="AE57" i="33"/>
  <c r="AH43" i="33"/>
  <c r="AI43" i="33" s="1"/>
  <c r="X57" i="33"/>
  <c r="AF41" i="33"/>
  <c r="AF42" i="33"/>
  <c r="AG42" i="33" s="1"/>
  <c r="AF43" i="33"/>
  <c r="AG43" i="33" s="1"/>
  <c r="AF44" i="33"/>
  <c r="AG44" i="33" s="1"/>
  <c r="AF45" i="33"/>
  <c r="AG45" i="33" s="1"/>
  <c r="R59" i="33"/>
  <c r="S59" i="33" s="1"/>
  <c r="AA45" i="33"/>
  <c r="AB45" i="33" s="1"/>
  <c r="AC45" i="33" s="1"/>
  <c r="Q57" i="33"/>
  <c r="AH41" i="33"/>
  <c r="J57" i="33"/>
  <c r="M169" i="33"/>
  <c r="R50" i="33"/>
  <c r="AF57" i="33"/>
  <c r="AG57" i="33" s="1"/>
  <c r="K41" i="33"/>
  <c r="K42" i="33"/>
  <c r="L42" i="33" s="1"/>
  <c r="K43" i="33"/>
  <c r="L43" i="33" s="1"/>
  <c r="K44" i="33"/>
  <c r="L44" i="33" s="1"/>
  <c r="K45" i="33"/>
  <c r="L45" i="33" s="1"/>
  <c r="K169" i="33"/>
  <c r="L169" i="33" s="1"/>
  <c r="Y59" i="33"/>
  <c r="Z59" i="33" s="1"/>
  <c r="AH59" i="33"/>
  <c r="AI59" i="33" s="1"/>
  <c r="Y50" i="33"/>
  <c r="Z50" i="33" s="1"/>
  <c r="K57" i="33"/>
  <c r="L57" i="33" s="1"/>
  <c r="T61" i="33"/>
  <c r="U61" i="33" s="1"/>
  <c r="V61" i="33" s="1"/>
  <c r="AA238" i="33"/>
  <c r="K238" i="33"/>
  <c r="AF61" i="33"/>
  <c r="AG61" i="33" s="1"/>
  <c r="AH238" i="33"/>
  <c r="AH308" i="33" s="1"/>
  <c r="K61" i="33"/>
  <c r="L61" i="33" s="1"/>
  <c r="K66" i="33"/>
  <c r="R238" i="33"/>
  <c r="R308" i="33" s="1"/>
  <c r="AF66" i="33"/>
  <c r="AA66" i="33"/>
  <c r="AB66" i="33" s="1"/>
  <c r="AC66" i="33" s="1"/>
  <c r="R61" i="33"/>
  <c r="S61" i="33" s="1"/>
  <c r="R66" i="33"/>
  <c r="Y238" i="33"/>
  <c r="Y308" i="33" s="1"/>
  <c r="Z61" i="33"/>
  <c r="Y66" i="33"/>
  <c r="Z66" i="33" s="1"/>
  <c r="T238" i="33"/>
  <c r="T308" i="33" s="1"/>
  <c r="AF238" i="33"/>
  <c r="BS29" i="3"/>
  <c r="CC29" i="3"/>
  <c r="BI29" i="3"/>
  <c r="BI122" i="3"/>
  <c r="T122" i="33" s="1"/>
  <c r="U122" i="33" s="1"/>
  <c r="V122" i="33" s="1"/>
  <c r="AY136" i="3"/>
  <c r="M131" i="33" s="1"/>
  <c r="N131" i="33" s="1"/>
  <c r="BI39" i="3"/>
  <c r="BI16" i="3"/>
  <c r="BS134" i="3"/>
  <c r="AA127" i="33" s="1"/>
  <c r="AB127" i="33" s="1"/>
  <c r="AC127" i="33" s="1"/>
  <c r="AY10" i="3"/>
  <c r="BI139" i="3"/>
  <c r="T132" i="33" s="1"/>
  <c r="U132" i="33" s="1"/>
  <c r="AY41" i="3"/>
  <c r="BI121" i="3"/>
  <c r="AY134" i="3"/>
  <c r="M127" i="33" s="1"/>
  <c r="N127" i="33" s="1"/>
  <c r="O127" i="33" s="1"/>
  <c r="T60" i="33"/>
  <c r="U60" i="33" s="1"/>
  <c r="V60" i="33" s="1"/>
  <c r="AY16" i="3"/>
  <c r="BS22" i="3"/>
  <c r="CC10" i="3"/>
  <c r="AY14" i="3"/>
  <c r="AY22" i="3"/>
  <c r="AY121" i="3"/>
  <c r="AY29" i="3"/>
  <c r="BI41" i="3"/>
  <c r="BI19" i="3"/>
  <c r="T124" i="33" s="1"/>
  <c r="U124" i="33" s="1"/>
  <c r="CC14" i="3"/>
  <c r="CC138" i="3"/>
  <c r="CC31" i="3"/>
  <c r="BS31" i="3"/>
  <c r="CC38" i="3"/>
  <c r="AY24" i="3"/>
  <c r="AY15" i="3"/>
  <c r="BI38" i="3"/>
  <c r="BI26" i="3"/>
  <c r="BS121" i="3"/>
  <c r="BS41" i="3"/>
  <c r="CC19" i="3"/>
  <c r="AH124" i="33" s="1"/>
  <c r="AI124" i="33" s="1"/>
  <c r="CC139" i="3"/>
  <c r="AH132" i="33" s="1"/>
  <c r="AI132" i="33" s="1"/>
  <c r="CC23" i="3"/>
  <c r="BS23" i="3"/>
  <c r="BS135" i="3"/>
  <c r="AA130" i="33" s="1"/>
  <c r="AB130" i="33" s="1"/>
  <c r="AC130" i="33" s="1"/>
  <c r="BS25" i="3"/>
  <c r="CC136" i="3"/>
  <c r="BS136" i="3"/>
  <c r="CC39" i="3"/>
  <c r="BS39" i="3"/>
  <c r="AY138" i="3"/>
  <c r="AY31" i="3"/>
  <c r="AY23" i="3"/>
  <c r="BI135" i="3"/>
  <c r="T130" i="33" s="1"/>
  <c r="U130" i="33" s="1"/>
  <c r="BI35" i="3"/>
  <c r="T54" i="33" s="1"/>
  <c r="U54" i="33" s="1"/>
  <c r="V54" i="33" s="1"/>
  <c r="BI25" i="3"/>
  <c r="BI21" i="3"/>
  <c r="T126" i="33" s="1"/>
  <c r="U126" i="33" s="1"/>
  <c r="BS24" i="3"/>
  <c r="BS10" i="3"/>
  <c r="CC15" i="3"/>
  <c r="BS35" i="3"/>
  <c r="AA54" i="33" s="1"/>
  <c r="AB54" i="33" s="1"/>
  <c r="AC54" i="33" s="1"/>
  <c r="BS21" i="3"/>
  <c r="AA126" i="33" s="1"/>
  <c r="AB126" i="33" s="1"/>
  <c r="AC126" i="33" s="1"/>
  <c r="CC26" i="3"/>
  <c r="AA60" i="33"/>
  <c r="AB60" i="33" s="1"/>
  <c r="AC60" i="33" s="1"/>
  <c r="AY38" i="3"/>
  <c r="AY26" i="3"/>
  <c r="BI24" i="3"/>
  <c r="BI15" i="3"/>
  <c r="BS16" i="3"/>
  <c r="CC122" i="3"/>
  <c r="AH122" i="33" s="1"/>
  <c r="AI122" i="33" s="1"/>
  <c r="AY135" i="3"/>
  <c r="M130" i="33" s="1"/>
  <c r="N130" i="33" s="1"/>
  <c r="AY35" i="3"/>
  <c r="M54" i="33" s="1"/>
  <c r="N54" i="33" s="1"/>
  <c r="O54" i="33" s="1"/>
  <c r="AY25" i="3"/>
  <c r="AY21" i="3"/>
  <c r="M126" i="33" s="1"/>
  <c r="N126" i="33" s="1"/>
  <c r="BI138" i="3"/>
  <c r="BI31" i="3"/>
  <c r="BI23" i="3"/>
  <c r="AY139" i="3"/>
  <c r="M132" i="33" s="1"/>
  <c r="N132" i="33" s="1"/>
  <c r="AY122" i="3"/>
  <c r="M122" i="33" s="1"/>
  <c r="AY19" i="3"/>
  <c r="M124" i="33" s="1"/>
  <c r="N124" i="33" s="1"/>
  <c r="BI134" i="3"/>
  <c r="T127" i="33" s="1"/>
  <c r="U127" i="33" s="1"/>
  <c r="V127" i="33" s="1"/>
  <c r="BI22" i="3"/>
  <c r="BI14" i="3"/>
  <c r="R208" i="33" l="1"/>
  <c r="S208" i="33" s="1"/>
  <c r="Q7" i="34" s="1"/>
  <c r="AC12" i="35"/>
  <c r="AG12" i="35" s="1"/>
  <c r="Y367" i="33"/>
  <c r="M208" i="33"/>
  <c r="N208" i="33" s="1"/>
  <c r="Y366" i="33"/>
  <c r="AR16" i="38"/>
  <c r="AQ16" i="38"/>
  <c r="AT16" i="38"/>
  <c r="AS16" i="38"/>
  <c r="AU16" i="38"/>
  <c r="AP11" i="36"/>
  <c r="AT11" i="36" s="1"/>
  <c r="R367" i="33"/>
  <c r="Y208" i="33"/>
  <c r="Z208" i="33" s="1"/>
  <c r="AE7" i="34" s="1"/>
  <c r="R366" i="33"/>
  <c r="T367" i="33"/>
  <c r="AA208" i="33"/>
  <c r="AB208" i="33" s="1"/>
  <c r="BA16" i="38"/>
  <c r="AZ16" i="38"/>
  <c r="AY16" i="38"/>
  <c r="AX16" i="38"/>
  <c r="AW16" i="38"/>
  <c r="T208" i="33"/>
  <c r="U208" i="33" s="1"/>
  <c r="AA367" i="33"/>
  <c r="AH208" i="33"/>
  <c r="AF133" i="33"/>
  <c r="K308" i="33"/>
  <c r="AB228" i="33"/>
  <c r="AC228" i="33" s="1"/>
  <c r="AA308" i="33"/>
  <c r="AB308" i="33" s="1"/>
  <c r="AD7" i="38"/>
  <c r="AH7" i="38"/>
  <c r="AF7" i="38"/>
  <c r="AG7" i="38"/>
  <c r="AE7" i="38"/>
  <c r="AL7" i="38"/>
  <c r="AK7" i="38"/>
  <c r="AJ7" i="38"/>
  <c r="AN7" i="38"/>
  <c r="AM7" i="38"/>
  <c r="AF208" i="33"/>
  <c r="K208" i="33"/>
  <c r="L208" i="33" s="1"/>
  <c r="C7" i="34" s="1"/>
  <c r="AV11" i="35"/>
  <c r="AX11" i="35" s="1"/>
  <c r="P13" i="36"/>
  <c r="R13" i="36" s="1"/>
  <c r="P12" i="35"/>
  <c r="P11" i="35"/>
  <c r="U11" i="35" s="1"/>
  <c r="T12" i="36"/>
  <c r="V239" i="33"/>
  <c r="Z12" i="36"/>
  <c r="S12" i="36"/>
  <c r="W12" i="36"/>
  <c r="S308" i="33"/>
  <c r="Q8" i="34" s="1"/>
  <c r="T8" i="34" s="1"/>
  <c r="Q12" i="36"/>
  <c r="AA12" i="36"/>
  <c r="R12" i="36"/>
  <c r="Y12" i="36"/>
  <c r="U308" i="33"/>
  <c r="S7" i="38"/>
  <c r="T7" i="38"/>
  <c r="U7" i="38"/>
  <c r="Q7" i="38"/>
  <c r="R7" i="38"/>
  <c r="Z7" i="38"/>
  <c r="Y7" i="38"/>
  <c r="W7" i="38"/>
  <c r="AA7" i="38"/>
  <c r="X7" i="38"/>
  <c r="C10" i="36"/>
  <c r="H10" i="36" s="1"/>
  <c r="M308" i="33"/>
  <c r="N308" i="33" s="1"/>
  <c r="AC11" i="36"/>
  <c r="AE11" i="36" s="1"/>
  <c r="AM10" i="36"/>
  <c r="AJ10" i="36"/>
  <c r="AN10" i="36"/>
  <c r="AL10" i="36"/>
  <c r="AK10" i="36"/>
  <c r="M367" i="33"/>
  <c r="K367" i="33"/>
  <c r="K366" i="33"/>
  <c r="U185" i="33"/>
  <c r="O196" i="33"/>
  <c r="I10" i="36" s="1"/>
  <c r="S185" i="33"/>
  <c r="P6" i="38" s="1"/>
  <c r="D16" i="38"/>
  <c r="AH367" i="33"/>
  <c r="AF367" i="33"/>
  <c r="AC166" i="33"/>
  <c r="AP11" i="35"/>
  <c r="AU11" i="35" s="1"/>
  <c r="V166" i="33"/>
  <c r="AQ10" i="36"/>
  <c r="AR10" i="36"/>
  <c r="AT10" i="36"/>
  <c r="AU10" i="36"/>
  <c r="K133" i="33"/>
  <c r="Z308" i="33"/>
  <c r="AE8" i="34" s="1"/>
  <c r="AF8" i="34" s="1"/>
  <c r="C11" i="36"/>
  <c r="G11" i="36" s="1"/>
  <c r="AF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S11" i="36"/>
  <c r="AW10" i="36"/>
  <c r="AZ10" i="36"/>
  <c r="AX10" i="36"/>
  <c r="BA10" i="36"/>
  <c r="AY10" i="36"/>
  <c r="AP12" i="35"/>
  <c r="AC11" i="35"/>
  <c r="C13" i="36"/>
  <c r="AV12" i="35"/>
  <c r="C12" i="35"/>
  <c r="AF308" i="33"/>
  <c r="AG308" i="33" s="1"/>
  <c r="AS8" i="34" s="1"/>
  <c r="AW8" i="34" s="1"/>
  <c r="N169" i="33"/>
  <c r="O169" i="33" s="1"/>
  <c r="I11" i="35" s="1"/>
  <c r="AF364" i="33"/>
  <c r="AG364" i="33" s="1"/>
  <c r="AS9" i="34" s="1"/>
  <c r="N122" i="33"/>
  <c r="O122" i="33" s="1"/>
  <c r="R133" i="33"/>
  <c r="N238" i="33"/>
  <c r="Y133" i="33"/>
  <c r="AG41" i="33"/>
  <c r="AF366" i="33"/>
  <c r="N185" i="33"/>
  <c r="O185" i="33" s="1"/>
  <c r="AA57" i="33"/>
  <c r="AB57" i="33" s="1"/>
  <c r="AC57" i="33" s="1"/>
  <c r="M41" i="33"/>
  <c r="T48" i="33"/>
  <c r="AA43" i="33"/>
  <c r="AB43" i="33" s="1"/>
  <c r="AC43" i="33" s="1"/>
  <c r="AA41" i="33"/>
  <c r="AA50" i="33"/>
  <c r="AB50" i="33" s="1"/>
  <c r="AC50" i="33" s="1"/>
  <c r="AH42" i="33"/>
  <c r="AI42" i="33" s="1"/>
  <c r="AA59" i="33"/>
  <c r="AB59" i="33" s="1"/>
  <c r="AC59" i="33" s="1"/>
  <c r="T59" i="33"/>
  <c r="U59" i="33" s="1"/>
  <c r="V59" i="33" s="1"/>
  <c r="AA48" i="33"/>
  <c r="S50" i="33"/>
  <c r="T50" i="33"/>
  <c r="U50" i="33" s="1"/>
  <c r="V50" i="33" s="1"/>
  <c r="AA42" i="33"/>
  <c r="AB42" i="33" s="1"/>
  <c r="AC42" i="33" s="1"/>
  <c r="T45" i="33"/>
  <c r="U45" i="33" s="1"/>
  <c r="V45" i="33" s="1"/>
  <c r="AH45" i="33"/>
  <c r="AI45" i="33" s="1"/>
  <c r="AH50" i="33"/>
  <c r="AI50" i="33" s="1"/>
  <c r="T41" i="33"/>
  <c r="M45" i="33"/>
  <c r="N45" i="33" s="1"/>
  <c r="O45" i="33" s="1"/>
  <c r="M43" i="33"/>
  <c r="N43" i="33" s="1"/>
  <c r="O43" i="33" s="1"/>
  <c r="AG50" i="33"/>
  <c r="T43" i="33"/>
  <c r="U43" i="33" s="1"/>
  <c r="V43" i="33" s="1"/>
  <c r="M42" i="33"/>
  <c r="N42" i="33" s="1"/>
  <c r="O42" i="33" s="1"/>
  <c r="M59" i="33"/>
  <c r="AH57" i="33"/>
  <c r="AI57" i="33" s="1"/>
  <c r="T44" i="33"/>
  <c r="U44" i="33" s="1"/>
  <c r="V44" i="33" s="1"/>
  <c r="AA44" i="33"/>
  <c r="AB44" i="33" s="1"/>
  <c r="AC44" i="33" s="1"/>
  <c r="T57" i="33"/>
  <c r="U57" i="33" s="1"/>
  <c r="V57" i="33" s="1"/>
  <c r="Z48" i="33"/>
  <c r="M44" i="33"/>
  <c r="N44" i="33" s="1"/>
  <c r="O44" i="33" s="1"/>
  <c r="L50" i="33"/>
  <c r="AH48" i="33"/>
  <c r="M50" i="33"/>
  <c r="N50" i="33" s="1"/>
  <c r="O50" i="33" s="1"/>
  <c r="M48" i="33"/>
  <c r="N48" i="33" s="1"/>
  <c r="O48" i="33" s="1"/>
  <c r="T42" i="33"/>
  <c r="U42" i="33" s="1"/>
  <c r="V42" i="33" s="1"/>
  <c r="AI41" i="33"/>
  <c r="L238" i="33"/>
  <c r="M61" i="33"/>
  <c r="N61" i="33" s="1"/>
  <c r="M66" i="33"/>
  <c r="N66" i="33" s="1"/>
  <c r="AI238" i="33"/>
  <c r="AI308" i="33" s="1"/>
  <c r="AY8" i="34" s="1"/>
  <c r="AB238" i="33"/>
  <c r="T66" i="33"/>
  <c r="U66" i="33" s="1"/>
  <c r="AG238" i="33"/>
  <c r="AP6" i="36" s="1"/>
  <c r="S238" i="33"/>
  <c r="P6" i="36" s="1"/>
  <c r="AH61" i="33"/>
  <c r="AI61" i="33" s="1"/>
  <c r="AA61" i="33"/>
  <c r="AB61" i="33" s="1"/>
  <c r="AC61" i="33" s="1"/>
  <c r="U238" i="33"/>
  <c r="Z238" i="33"/>
  <c r="AH66" i="33"/>
  <c r="AI66" i="33" s="1"/>
  <c r="Y365" i="33" l="1"/>
  <c r="AE12" i="35"/>
  <c r="AQ11" i="36"/>
  <c r="AR11" i="36"/>
  <c r="AU11" i="36"/>
  <c r="U367" i="33"/>
  <c r="T366" i="33"/>
  <c r="AH366" i="33"/>
  <c r="M133" i="33"/>
  <c r="M365" i="33" s="1"/>
  <c r="AA366" i="33"/>
  <c r="AB367" i="33"/>
  <c r="AG208" i="33"/>
  <c r="AF365" i="33"/>
  <c r="AS11" i="34" s="1"/>
  <c r="M366" i="33"/>
  <c r="AI13" i="36"/>
  <c r="AN13" i="36" s="1"/>
  <c r="T133" i="33"/>
  <c r="T365" i="33" s="1"/>
  <c r="AV6" i="36"/>
  <c r="AA133" i="33"/>
  <c r="Z367" i="33"/>
  <c r="AE13" i="34" s="1"/>
  <c r="AC6" i="36"/>
  <c r="AY11" i="35"/>
  <c r="AZ11" i="35"/>
  <c r="BA11" i="35"/>
  <c r="AW11" i="35"/>
  <c r="AI208" i="33"/>
  <c r="AY7" i="34" s="1"/>
  <c r="AC208" i="33"/>
  <c r="AK7" i="34" s="1"/>
  <c r="O208" i="33"/>
  <c r="I7" i="34" s="1"/>
  <c r="S366" i="33"/>
  <c r="S367" i="33"/>
  <c r="Q13" i="34" s="1"/>
  <c r="V12" i="35"/>
  <c r="V11" i="35"/>
  <c r="AA11" i="35" s="1"/>
  <c r="R365" i="33"/>
  <c r="AG367" i="33"/>
  <c r="AS13" i="34" s="1"/>
  <c r="V13" i="36"/>
  <c r="AA13" i="36" s="1"/>
  <c r="E10" i="36"/>
  <c r="F10" i="36"/>
  <c r="G10" i="36"/>
  <c r="D10" i="36"/>
  <c r="R6" i="38"/>
  <c r="G16" i="38"/>
  <c r="F16" i="38"/>
  <c r="AF11" i="36"/>
  <c r="AD11" i="36"/>
  <c r="AG11" i="36"/>
  <c r="AH11" i="36"/>
  <c r="L366" i="33"/>
  <c r="S11" i="35"/>
  <c r="C15" i="35"/>
  <c r="G15" i="35" s="1"/>
  <c r="C6" i="36"/>
  <c r="H16" i="38"/>
  <c r="E16" i="38"/>
  <c r="R11" i="35"/>
  <c r="Q11" i="35"/>
  <c r="T11" i="35"/>
  <c r="L367" i="33"/>
  <c r="C13" i="34" s="1"/>
  <c r="H13" i="34" s="1"/>
  <c r="P15" i="35"/>
  <c r="S15" i="35" s="1"/>
  <c r="AC6" i="38"/>
  <c r="N367" i="33"/>
  <c r="P11" i="36"/>
  <c r="S11" i="36" s="1"/>
  <c r="V185" i="33"/>
  <c r="AS7" i="34"/>
  <c r="AW7" i="34" s="1"/>
  <c r="AS11" i="35"/>
  <c r="AQ11" i="35"/>
  <c r="AR11" i="35"/>
  <c r="AT11" i="35"/>
  <c r="AI11" i="35"/>
  <c r="AN11" i="35" s="1"/>
  <c r="AI12" i="35"/>
  <c r="AM12" i="35" s="1"/>
  <c r="V7" i="34"/>
  <c r="U7" i="34"/>
  <c r="T7" i="34"/>
  <c r="R7" i="34"/>
  <c r="S7" i="34"/>
  <c r="AG7" i="34"/>
  <c r="AI7" i="34"/>
  <c r="AH7" i="34"/>
  <c r="AJ7" i="34"/>
  <c r="AF7" i="34"/>
  <c r="AP6" i="38"/>
  <c r="AI367"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5" i="33"/>
  <c r="H7" i="34"/>
  <c r="F7" i="34"/>
  <c r="G7" i="34"/>
  <c r="E7" i="34"/>
  <c r="D7" i="34"/>
  <c r="AZ11" i="36"/>
  <c r="AX11" i="36"/>
  <c r="AY11" i="36"/>
  <c r="BA11" i="36"/>
  <c r="AJ11" i="36"/>
  <c r="S13" i="36"/>
  <c r="AK11" i="36"/>
  <c r="T13" i="36"/>
  <c r="AW13" i="36"/>
  <c r="U13" i="36"/>
  <c r="AX13" i="36"/>
  <c r="BA13" i="36"/>
  <c r="Q13" i="36"/>
  <c r="AY13" i="36"/>
  <c r="AM11" i="36"/>
  <c r="I13" i="36"/>
  <c r="J13" i="36" s="1"/>
  <c r="AN11" i="36"/>
  <c r="AT6" i="36"/>
  <c r="AE13" i="36"/>
  <c r="AG13" i="36"/>
  <c r="AH13" i="36"/>
  <c r="AD13" i="36"/>
  <c r="AF13" i="36"/>
  <c r="AR13" i="36"/>
  <c r="AT13" i="36"/>
  <c r="AQ13" i="36"/>
  <c r="AU13" i="36"/>
  <c r="AS13" i="36"/>
  <c r="AC15" i="35"/>
  <c r="AF15" i="35" s="1"/>
  <c r="H13" i="36"/>
  <c r="F13" i="36"/>
  <c r="G13" i="36"/>
  <c r="E13" i="36"/>
  <c r="D13" i="36"/>
  <c r="AV15" i="35"/>
  <c r="AP15" i="35"/>
  <c r="I12" i="35"/>
  <c r="AG366" i="33"/>
  <c r="AX8" i="34"/>
  <c r="AU8" i="34"/>
  <c r="AV8" i="34"/>
  <c r="AT8" i="34"/>
  <c r="AH133" i="33"/>
  <c r="AH365" i="33" s="1"/>
  <c r="N59" i="33"/>
  <c r="O59" i="33" s="1"/>
  <c r="S133" i="33"/>
  <c r="N41" i="33"/>
  <c r="Z133" i="33"/>
  <c r="AB41" i="33"/>
  <c r="Z366" i="33"/>
  <c r="U41" i="33"/>
  <c r="AU9" i="34"/>
  <c r="AX9" i="34"/>
  <c r="AV9" i="34"/>
  <c r="AW9" i="34"/>
  <c r="AT9" i="34"/>
  <c r="BD8" i="34"/>
  <c r="BA8" i="34"/>
  <c r="AZ8" i="34"/>
  <c r="BB8" i="34"/>
  <c r="BC8" i="34"/>
  <c r="AG133" i="33"/>
  <c r="AI48" i="33"/>
  <c r="AI366" i="33" s="1"/>
  <c r="U48" i="33"/>
  <c r="AB48" i="33"/>
  <c r="L133" i="33"/>
  <c r="O238" i="33"/>
  <c r="O308" i="33" s="1"/>
  <c r="L308" i="33"/>
  <c r="C8" i="34" s="1"/>
  <c r="AC238" i="33"/>
  <c r="AI6" i="36" s="1"/>
  <c r="V238" i="33"/>
  <c r="V308" i="33" s="1"/>
  <c r="U366" i="33" l="1"/>
  <c r="AB366" i="33"/>
  <c r="N366" i="33"/>
  <c r="AN6" i="36"/>
  <c r="AM6" i="36"/>
  <c r="AL6" i="36"/>
  <c r="AJ6" i="36"/>
  <c r="AK6" i="36"/>
  <c r="AJ13" i="36"/>
  <c r="AH6" i="38"/>
  <c r="AF6" i="38"/>
  <c r="AE6" i="38"/>
  <c r="AD6" i="38"/>
  <c r="AG6" i="38"/>
  <c r="AK13" i="36"/>
  <c r="AM13" i="36"/>
  <c r="AL13" i="36"/>
  <c r="BD7" i="34"/>
  <c r="BC7" i="34"/>
  <c r="BA7" i="34"/>
  <c r="AZ7" i="34"/>
  <c r="BB7" i="34"/>
  <c r="AX13" i="34"/>
  <c r="V367" i="33"/>
  <c r="W13" i="34" s="1"/>
  <c r="V208" i="33"/>
  <c r="W7" i="34" s="1"/>
  <c r="Q11" i="36"/>
  <c r="V6" i="36"/>
  <c r="W6" i="36" s="1"/>
  <c r="S6" i="38"/>
  <c r="V6" i="38"/>
  <c r="U11" i="36"/>
  <c r="V11" i="36"/>
  <c r="R11" i="36"/>
  <c r="T11" i="36"/>
  <c r="I15" i="35"/>
  <c r="W11" i="35"/>
  <c r="X11" i="35"/>
  <c r="Z11" i="35"/>
  <c r="Y11" i="35"/>
  <c r="U6" i="38"/>
  <c r="Q6" i="38"/>
  <c r="T6" i="38"/>
  <c r="W8" i="34"/>
  <c r="AA8" i="34" s="1"/>
  <c r="V15" i="35"/>
  <c r="S13" i="34"/>
  <c r="U13" i="34"/>
  <c r="V13" i="34"/>
  <c r="T13" i="34"/>
  <c r="R13" i="34"/>
  <c r="O367" i="33"/>
  <c r="I13" i="34" s="1"/>
  <c r="AT7" i="34"/>
  <c r="AX7" i="34"/>
  <c r="AU7" i="34"/>
  <c r="AV7" i="34"/>
  <c r="N10" i="36"/>
  <c r="K10" i="36"/>
  <c r="L10" i="36"/>
  <c r="J10" i="36"/>
  <c r="M10" i="36"/>
  <c r="Y13" i="36"/>
  <c r="W13" i="36"/>
  <c r="Z13" i="36"/>
  <c r="X13" i="36"/>
  <c r="AK12" i="35"/>
  <c r="AN12" i="35"/>
  <c r="AL11" i="35"/>
  <c r="AJ11" i="35"/>
  <c r="AK11" i="35"/>
  <c r="AM11" i="35"/>
  <c r="AJ12" i="35"/>
  <c r="AL12" i="35"/>
  <c r="AC367"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5"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T6" i="36"/>
  <c r="S6" i="36"/>
  <c r="U6" i="36"/>
  <c r="Q6" i="36"/>
  <c r="R6" i="36"/>
  <c r="F15" i="35"/>
  <c r="BA15" i="35"/>
  <c r="AY15" i="35"/>
  <c r="AW15" i="35"/>
  <c r="AZ15" i="35"/>
  <c r="AX15" i="35"/>
  <c r="E15" i="35"/>
  <c r="H15" i="35"/>
  <c r="AU15" i="35"/>
  <c r="AR15" i="35"/>
  <c r="AT15" i="35"/>
  <c r="AS15" i="35"/>
  <c r="AQ15" i="35"/>
  <c r="AC308" i="33"/>
  <c r="AI15" i="35"/>
  <c r="D15" i="35"/>
  <c r="E6" i="36"/>
  <c r="H6" i="36"/>
  <c r="D6" i="36"/>
  <c r="F6" i="36"/>
  <c r="G6" i="36"/>
  <c r="AW13" i="34"/>
  <c r="AT13" i="34"/>
  <c r="AV13" i="34"/>
  <c r="AU13" i="34"/>
  <c r="BA13" i="34"/>
  <c r="BC13" i="34"/>
  <c r="BD13" i="34"/>
  <c r="AZ13" i="34"/>
  <c r="BB13" i="34"/>
  <c r="S365" i="33"/>
  <c r="Q11" i="34" s="1"/>
  <c r="Q6" i="34"/>
  <c r="AA365" i="33"/>
  <c r="AB133" i="33"/>
  <c r="AB365" i="33" s="1"/>
  <c r="U133" i="33"/>
  <c r="U365" i="33" s="1"/>
  <c r="AI133" i="33"/>
  <c r="N133" i="33"/>
  <c r="N365" i="33" s="1"/>
  <c r="C6" i="34"/>
  <c r="AC41" i="33"/>
  <c r="AE6" i="34"/>
  <c r="Z365" i="33"/>
  <c r="AE11" i="34" s="1"/>
  <c r="AS6" i="34"/>
  <c r="AG365" i="33"/>
  <c r="G8" i="34"/>
  <c r="E8" i="34"/>
  <c r="D8" i="34"/>
  <c r="F8" i="34"/>
  <c r="H8" i="34"/>
  <c r="AV11" i="34"/>
  <c r="AU11" i="34"/>
  <c r="AW11" i="34"/>
  <c r="AT11" i="34"/>
  <c r="AX11" i="34"/>
  <c r="AJ13" i="34"/>
  <c r="AG13" i="34"/>
  <c r="AH13" i="34"/>
  <c r="AF13" i="34"/>
  <c r="AI13" i="34"/>
  <c r="AC48" i="33"/>
  <c r="V48" i="33"/>
  <c r="V366" i="33" s="1"/>
  <c r="O61" i="33"/>
  <c r="O366" i="33" s="1"/>
  <c r="AC133" i="33" l="1"/>
  <c r="AN6" i="38"/>
  <c r="AM6" i="38"/>
  <c r="AL6" i="38"/>
  <c r="AK6" i="38"/>
  <c r="AJ6" i="38"/>
  <c r="AK8" i="34"/>
  <c r="AL8" i="34" s="1"/>
  <c r="AB7" i="34"/>
  <c r="AA7" i="34"/>
  <c r="Z7" i="34"/>
  <c r="Y7" i="34"/>
  <c r="X7" i="34"/>
  <c r="Z11" i="36"/>
  <c r="Y11" i="36"/>
  <c r="W11" i="36"/>
  <c r="X11" i="36"/>
  <c r="AA11" i="36"/>
  <c r="AA6" i="36"/>
  <c r="Z6" i="36"/>
  <c r="X6" i="36"/>
  <c r="Y6" i="36"/>
  <c r="AA6" i="38"/>
  <c r="X6" i="38"/>
  <c r="W6" i="38"/>
  <c r="Z6" i="38"/>
  <c r="Y6" i="38"/>
  <c r="L6" i="38"/>
  <c r="M6" i="38"/>
  <c r="K6" i="38"/>
  <c r="N6" i="38"/>
  <c r="J6" i="38"/>
  <c r="K8" i="34"/>
  <c r="J8" i="34"/>
  <c r="M8" i="34"/>
  <c r="N8" i="34"/>
  <c r="J6" i="36"/>
  <c r="M6" i="36"/>
  <c r="L6" i="36"/>
  <c r="N6" i="36"/>
  <c r="K6" i="36"/>
  <c r="Y8" i="34"/>
  <c r="Z8" i="34"/>
  <c r="W15" i="35"/>
  <c r="AA15" i="35"/>
  <c r="X15" i="35"/>
  <c r="Z15" i="35"/>
  <c r="Y15" i="35"/>
  <c r="X8" i="34"/>
  <c r="AB8" i="34"/>
  <c r="AL15" i="35"/>
  <c r="AN15" i="35"/>
  <c r="AK15" i="35"/>
  <c r="AM15" i="35"/>
  <c r="AJ15" i="35"/>
  <c r="AI11" i="34"/>
  <c r="AH11" i="34"/>
  <c r="AG11" i="34"/>
  <c r="AF11" i="34"/>
  <c r="AJ11" i="34"/>
  <c r="AG6" i="34"/>
  <c r="AH6" i="34"/>
  <c r="AF6" i="34"/>
  <c r="AI6" i="34"/>
  <c r="AJ6" i="34"/>
  <c r="U6" i="34"/>
  <c r="S6" i="34"/>
  <c r="T6" i="34"/>
  <c r="V6" i="34"/>
  <c r="R6" i="34"/>
  <c r="AY6" i="34"/>
  <c r="AI365" i="33"/>
  <c r="AY11" i="34" s="1"/>
  <c r="AX6" i="34"/>
  <c r="AV6" i="34"/>
  <c r="AW6" i="34"/>
  <c r="AT6" i="34"/>
  <c r="AU6" i="34"/>
  <c r="AC366" i="33"/>
  <c r="T11" i="34"/>
  <c r="V11" i="34"/>
  <c r="U11" i="34"/>
  <c r="S11" i="34"/>
  <c r="R11" i="34"/>
  <c r="N15" i="35"/>
  <c r="M15" i="35"/>
  <c r="L15" i="35"/>
  <c r="K15" i="35"/>
  <c r="J15" i="35"/>
  <c r="V133" i="33"/>
  <c r="G11" i="34"/>
  <c r="H11" i="34"/>
  <c r="F11" i="34"/>
  <c r="D11" i="34"/>
  <c r="E11" i="34"/>
  <c r="F6" i="34"/>
  <c r="D6" i="34"/>
  <c r="E6" i="34"/>
  <c r="G6" i="34"/>
  <c r="H6" i="34"/>
  <c r="O133" i="33"/>
  <c r="AP8" i="34" l="1"/>
  <c r="AN8" i="34"/>
  <c r="AO8" i="34"/>
  <c r="AM8" i="34"/>
  <c r="X10" i="36"/>
  <c r="Z10" i="36"/>
  <c r="AA10" i="36"/>
  <c r="Y10" i="36"/>
  <c r="W10" i="36"/>
  <c r="N13" i="34"/>
  <c r="K13" i="34"/>
  <c r="J13" i="34"/>
  <c r="L13" i="34"/>
  <c r="M13" i="34"/>
  <c r="AM13" i="34"/>
  <c r="AN13" i="34"/>
  <c r="AL13" i="34"/>
  <c r="AO13" i="34"/>
  <c r="AP13" i="34"/>
  <c r="I6" i="34"/>
  <c r="O365" i="33"/>
  <c r="I11" i="34" s="1"/>
  <c r="BD6" i="34"/>
  <c r="BB6" i="34"/>
  <c r="BC6" i="34"/>
  <c r="BA6" i="34"/>
  <c r="AZ6" i="34"/>
  <c r="Z13" i="34"/>
  <c r="AB13" i="34"/>
  <c r="X13" i="34"/>
  <c r="AA13" i="34"/>
  <c r="Y13" i="34"/>
  <c r="AK6" i="34"/>
  <c r="AC365" i="33"/>
  <c r="AK11" i="34" s="1"/>
  <c r="W6" i="34"/>
  <c r="V365"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CF578572-CEDD-42AD-BA36-47C07E8E98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0BC8C932-ADBE-4B60-A4C2-86C58064A4A4}">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80209DCA-F276-4894-A72D-C84E4D5E9B2C}">
      <text>
        <r>
          <rPr>
            <sz val="9"/>
            <color indexed="81"/>
            <rFont val="Tahoma"/>
            <family val="2"/>
          </rPr>
          <t>Datos iniciales</t>
        </r>
      </text>
    </comment>
    <comment ref="U28" authorId="2" shapeId="0" xr:uid="{8163CDF1-63A5-4B21-9E26-65AE696F6E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6A34FB55-1F20-4730-A0AF-B98B2C5FBC1E}">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F0AED4E6-9008-4CEF-BD34-8AEDF7730728}">
      <text>
        <r>
          <rPr>
            <sz val="9"/>
            <color indexed="81"/>
            <rFont val="Tahoma"/>
            <family val="2"/>
          </rPr>
          <t>Datos iniciales</t>
        </r>
      </text>
    </comment>
    <comment ref="AB28" authorId="2" shapeId="0" xr:uid="{82E2A4FB-AE4A-47D7-82BA-28D1901F02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6AD5E40B-6159-48C1-95B2-561F443267C3}">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AA73F1CA-8D87-4DD0-9DCD-02C7B48EDA64}">
      <text>
        <r>
          <rPr>
            <sz val="9"/>
            <color indexed="81"/>
            <rFont val="Tahoma"/>
            <family val="2"/>
          </rPr>
          <t>Datos iniciales</t>
        </r>
      </text>
    </comment>
    <comment ref="AI28" authorId="2" shapeId="0" xr:uid="{C36E82CD-32EA-40F2-8AD7-B2539C46FD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9" authorId="2" shapeId="0" xr:uid="{F35D0D4D-1D9C-4270-A441-32C5F3619182}">
      <text>
        <r>
          <rPr>
            <sz val="9"/>
            <color indexed="81"/>
            <rFont val="Tahoma"/>
            <family val="2"/>
          </rPr>
          <t>Datos iniciales</t>
        </r>
      </text>
    </comment>
    <comment ref="U29"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9"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9" authorId="2" shapeId="0" xr:uid="{2AD5FF00-6D68-4641-9D3A-8607352B65EE}">
      <text>
        <r>
          <rPr>
            <sz val="9"/>
            <color indexed="81"/>
            <rFont val="Tahoma"/>
            <family val="2"/>
          </rPr>
          <t>Datos iniciales</t>
        </r>
      </text>
    </comment>
    <comment ref="AB29"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9"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9" authorId="2" shapeId="0" xr:uid="{4645BFD6-E12B-48C6-B9C6-9A6EC29F8A10}">
      <text>
        <r>
          <rPr>
            <sz val="9"/>
            <color indexed="81"/>
            <rFont val="Tahoma"/>
            <family val="2"/>
          </rPr>
          <t>Datos iniciales</t>
        </r>
      </text>
    </comment>
    <comment ref="AI29"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1"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1"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2"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2"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2"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5"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5"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5"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6"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7"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0"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40"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1"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4"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4"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5"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5"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8"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8"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50"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50"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50"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4"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4"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6"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6"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7"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7"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9"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9"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60" authorId="2" shapeId="0" xr:uid="{68BE4F75-FF40-4FB1-9590-E375DF3F92C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0" authorId="2" shapeId="0" xr:uid="{16D0C6BF-703D-48C7-84AE-C473CCED9EDD}">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E2AAB54-8B33-40A1-B4FA-3ABCB3F882FF}">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2654B191-747D-448B-90E0-F263944BB49F}">
      <text>
        <r>
          <rPr>
            <sz val="9"/>
            <color indexed="81"/>
            <rFont val="Tahoma"/>
            <family val="2"/>
          </rPr>
          <t>Réplica del anterior. 
En esta columna se encuentran los resultados incluyendo solamente las actividades programadas por las áreas para el periodo objeto de medición.</t>
        </r>
      </text>
    </comment>
    <comment ref="O61"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1"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1"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5"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6"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7"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7"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8"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8"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8"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0452DC0B-5476-47F8-8480-2DB88CFD6B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7E74AD6D-3D9F-4AC9-9286-AC6FAA882EAC}">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C32482BB-32F8-413F-A235-92DBCC84B15A}">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6AB71C22-AFE7-4F89-9473-34B5133FEE49}">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949C4174-C7EE-4EF5-875C-499BE68AB5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BFB02526-3332-44AE-B4DF-11B2ADF3ED69}">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0344C43D-604C-4D14-8C8C-875C8673CB81}">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4B5BBC3E-14E1-4872-B3F7-6CDB9A7E6B84}">
      <text>
        <r>
          <rPr>
            <sz val="9"/>
            <color indexed="81"/>
            <rFont val="Tahoma"/>
            <family val="2"/>
          </rPr>
          <t>Réplica del anterior. 
En esta columna se encuentran los resultados incluyendo solamente las actividades programadas por las áreas para el periodo objeto de medición.</t>
        </r>
      </text>
    </comment>
    <comment ref="N92"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2"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92"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92"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8"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8"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8"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8"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4771F100-1155-40D2-8BB2-B1ED6139864B}">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7F16C7E8-6049-4916-B9EC-C65E5B8693C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F7FC3D9C-DB27-455E-8DCD-3341BB124528}">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112EF09D-EA60-4B75-9D4F-480B676E2692}">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291E95EF-BEDD-4AF8-A84D-D093962933D2}">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19C06DFC-65F0-49D8-A0EF-0DEB803C41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DF9BA836-38FC-4574-8178-56EBF36BBAE2}">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7C61D357-1D77-4BBA-B705-D612ECD5B795}">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BBC82B25-5EBC-4F9B-90CC-3A9B5C6803A6}">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3837153D-B6DE-45DD-8F9B-77775CD777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91B32BE0-78A7-43A7-8AC0-CC320D08A58A}">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6415DF0D-58FB-49EF-9498-7DA0EE1A3627}">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FB6E86CB-A71C-4010-B6AC-9EAA31387F57}">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7A1E4B87-6560-4EE9-8F3C-7683449E3490}">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30"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0"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30"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30"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1"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31"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31"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32"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2"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32"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32"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4"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5"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4"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3163C2D6-80D3-4296-8CC6-9E0CC4F61EE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B9DD6A0E-0CF0-4248-A1AB-00B874235C2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199E6A0B-76E2-4A20-A3D5-734DBEA38B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35D65500-2E25-4708-8AB5-2D087D3C26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2"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72"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3"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5"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6"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6"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7"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7"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8"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8"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9"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9"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80"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0"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81"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4"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9"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9"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9"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1"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0"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0"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1"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2"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3"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<sst xmlns="http://schemas.openxmlformats.org/spreadsheetml/2006/main" count="8379" uniqueCount="2111">
  <si>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</si>
  <si>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</si>
  <si>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</si>
  <si>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</si>
  <si>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</si>
  <si>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</si>
  <si>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</si>
  <si>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</si>
  <si>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</si>
  <si>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</si>
  <si>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</si>
  <si>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</si>
  <si>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</si>
  <si>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</si>
  <si>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</si>
  <si>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</si>
  <si>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</si>
  <si>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</si>
  <si>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</si>
  <si>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</si>
  <si>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</si>
  <si>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</si>
  <si>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</si>
  <si>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</si>
  <si>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</si>
  <si>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</si>
  <si>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</si>
  <si>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</si>
  <si>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</si>
  <si>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</si>
  <si>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</si>
  <si>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</si>
  <si>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</si>
  <si>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</si>
  <si>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</si>
  <si>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</si>
  <si>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</si>
  <si>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</si>
  <si>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</si>
  <si>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</si>
  <si>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</si>
  <si>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</si>
  <si>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</si>
  <si>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</si>
  <si>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</si>
  <si>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</si>
  <si>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</si>
  <si>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</si>
  <si>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</si>
  <si>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</si>
  <si>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</si>
  <si>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</si>
  <si>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</si>
  <si>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</si>
  <si>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</si>
  <si>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</si>
  <si>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</si>
  <si>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</si>
  <si>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</si>
  <si>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</si>
  <si>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</si>
  <si>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</si>
  <si>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</si>
  <si>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</si>
  <si>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</si>
  <si>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</si>
  <si>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</si>
  <si>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</si>
  <si>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</si>
  <si>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</si>
  <si>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</si>
  <si>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</si>
  <si>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</si>
  <si>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</si>
  <si>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</si>
  <si>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</si>
  <si>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</si>
  <si>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</si>
  <si>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</si>
  <si>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</si>
  <si>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</si>
  <si>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</si>
  <si>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</si>
  <si>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</si>
  <si>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</si>
  <si>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</si>
  <si>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</si>
  <si>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</si>
  <si>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</si>
  <si>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</si>
  <si>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</si>
  <si>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</si>
  <si>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</si>
  <si>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</si>
  <si>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</si>
  <si>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</si>
  <si>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</si>
  <si>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</si>
  <si>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</si>
  <si>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</si>
  <si>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</si>
  <si>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</si>
  <si>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</si>
  <si>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</si>
  <si>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</si>
  <si>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</si>
  <si>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</si>
  <si>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</si>
  <si>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</si>
  <si>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</si>
  <si>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</si>
  <si>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</si>
  <si>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</si>
  <si>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</si>
  <si>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</si>
  <si>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</si>
  <si>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</si>
  <si>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</si>
  <si>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</si>
  <si>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</si>
  <si>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</si>
  <si>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</si>
  <si>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</si>
  <si>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</si>
  <si>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</si>
  <si>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</si>
  <si>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</si>
  <si>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</si>
  <si>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</si>
  <si>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</si>
  <si>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</si>
  <si>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</si>
  <si>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</si>
  <si>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</si>
  <si>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</si>
  <si>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</si>
  <si>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</si>
  <si>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</si>
  <si>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</si>
  <si>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</si>
  <si>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</si>
  <si>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</si>
  <si>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</si>
  <si>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</si>
  <si>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</si>
  <si>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</si>
  <si>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</si>
  <si>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</si>
  <si>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</si>
  <si>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</si>
  <si>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</si>
  <si>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</si>
  <si>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</si>
  <si>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</si>
  <si>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</si>
  <si>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</si>
  <si>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</si>
  <si>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</si>
  <si>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</si>
  <si>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</si>
  <si>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</si>
  <si>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</si>
  <si>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</si>
  <si>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</si>
  <si>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</si>
  <si>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</si>
  <si>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</si>
  <si>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</si>
  <si>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</si>
  <si>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</si>
  <si>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</si>
  <si>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</si>
  <si>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</si>
  <si>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</si>
  <si>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</si>
  <si>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</si>
  <si>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</si>
  <si>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</si>
  <si>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</si>
  <si>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</si>
  <si>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</si>
  <si>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</si>
  <si>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</si>
  <si>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</si>
  <si>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</si>
  <si>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</si>
  <si>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</si>
  <si>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</si>
  <si>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</si>
  <si>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</si>
  <si>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</si>
  <si>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</si>
  <si>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</si>
  <si>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</si>
  <si>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</si>
  <si>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</si>
  <si>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</si>
  <si>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</si>
  <si>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</si>
  <si>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</si>
  <si>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</si>
  <si>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</si>
  <si>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</si>
  <si>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</si>
  <si>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</si>
  <si>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</si>
  <si>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</si>
  <si>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</si>
  <si>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</si>
  <si>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</si>
  <si>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</si>
  <si>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</si>
  <si>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</si>
  <si>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</si>
  <si>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</si>
  <si>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</si>
  <si>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</si>
  <si>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</si>
  <si>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</si>
  <si>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</si>
  <si>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</si>
  <si>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</si>
  <si>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</si>
  <si>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</si>
  <si>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</si>
  <si>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</si>
  <si>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</si>
  <si>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</si>
  <si>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</si>
  <si>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</si>
  <si>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</si>
  <si>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</si>
  <si>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</si>
  <si>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</si>
  <si>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</si>
  <si>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</si>
  <si>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</si>
  <si>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</si>
  <si>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</si>
  <si>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</si>
  <si>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</si>
  <si>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</si>
  <si>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</si>
  <si>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</si>
  <si>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</si>
  <si>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</si>
  <si>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</si>
  <si>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</si>
  <si>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</si>
  <si>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</si>
  <si>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</si>
  <si>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</si>
  <si>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</si>
  <si>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</si>
  <si>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</si>
  <si>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</si>
  <si>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</si>
  <si>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</si>
  <si>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</si>
  <si>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</si>
  <si>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</si>
  <si>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</si>
  <si>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</si>
  <si>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</si>
  <si>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</si>
  <si>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</si>
  <si>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</si>
  <si>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</si>
  <si>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</si>
  <si>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</si>
  <si>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</si>
  <si>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</si>
  <si>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</si>
  <si>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</si>
  <si>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</si>
  <si>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</si>
  <si>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</si>
  <si>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</si>
  <si>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</si>
  <si>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</si>
  <si>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</si>
  <si>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</si>
  <si>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</si>
  <si>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</si>
  <si>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</si>
  <si>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</si>
  <si>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</si>
  <si>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</si>
  <si>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</si>
  <si>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</si>
  <si>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</si>
  <si>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</si>
  <si>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</si>
  <si>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</si>
  <si>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</si>
  <si>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</si>
  <si>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</si>
  <si>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</si>
  <si>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</si>
  <si>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</si>
  <si>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</si>
  <si>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</si>
  <si>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</si>
  <si>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</si>
  <si>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</si>
  <si>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</si>
  <si>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</si>
  <si>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</si>
  <si>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</si>
  <si>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</si>
  <si>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</si>
  <si>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</si>
  <si>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</si>
  <si>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</si>
  <si>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</si>
  <si>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</si>
  <si>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</si>
  <si>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</si>
  <si>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</si>
  <si>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</si>
  <si>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</si>
  <si>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</si>
  <si>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</si>
  <si>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</si>
  <si>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</si>
  <si>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</si>
  <si>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</si>
  <si>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</si>
  <si>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</si>
  <si>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</si>
  <si>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</si>
  <si>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</si>
  <si>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</si>
  <si>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</si>
  <si>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</si>
  <si>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</si>
  <si>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</si>
  <si>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</si>
  <si>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</si>
  <si>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</si>
  <si>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</si>
  <si>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</si>
  <si>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</si>
  <si>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</si>
  <si>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</si>
  <si>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</si>
  <si>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</si>
  <si>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</si>
  <si>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</si>
  <si>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</si>
  <si>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</si>
  <si>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</si>
  <si>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</si>
  <si>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</si>
  <si>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</si>
  <si>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</si>
  <si>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</si>
  <si>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</si>
  <si>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</si>
  <si>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</si>
  <si>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</si>
  <si>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</si>
  <si>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</si>
  <si>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</si>
  <si>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</si>
  <si>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</si>
  <si>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</si>
  <si>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</si>
  <si>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</si>
  <si>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</si>
  <si>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</si>
  <si>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</si>
  <si>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</si>
  <si>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</si>
  <si>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</si>
  <si>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</si>
  <si>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</si>
  <si>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</si>
  <si>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</si>
  <si>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</si>
  <si>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</si>
  <si>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</si>
  <si>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</si>
  <si>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</si>
  <si>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</si>
  <si>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</si>
  <si>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</si>
  <si>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</si>
  <si>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</si>
  <si>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</si>
  <si>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</si>
  <si>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</si>
  <si>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</si>
  <si>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</si>
  <si>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</si>
  <si>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</si>
  <si>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</si>
  <si>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</si>
  <si>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</si>
  <si>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</si>
  <si>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</si>
  <si>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</si>
  <si>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</si>
  <si>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</si>
  <si>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</si>
  <si>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</si>
  <si>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</si>
  <si>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</si>
  <si>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</si>
  <si>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</si>
  <si>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</si>
  <si>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</si>
  <si>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</si>
  <si>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</si>
  <si>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</si>
  <si>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</si>
  <si>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</si>
  <si>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</si>
  <si>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</si>
  <si>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</si>
  <si>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</si>
  <si>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</si>
  <si>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</si>
  <si>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</si>
  <si>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</si>
  <si>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</si>
  <si>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</si>
  <si>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</si>
  <si>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</si>
  <si>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</si>
  <si>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</si>
  <si>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</si>
  <si>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</si>
  <si>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</si>
  <si>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</si>
  <si>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</si>
  <si>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</si>
  <si>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</si>
  <si>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</si>
  <si>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</si>
  <si>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</si>
  <si>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</si>
  <si>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</si>
  <si>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</si>
  <si>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</si>
  <si>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</si>
  <si>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</si>
  <si>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</si>
  <si>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</si>
  <si>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</si>
  <si>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</si>
  <si>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</si>
  <si>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</si>
  <si>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</si>
  <si>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</si>
  <si>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</si>
  <si>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</si>
  <si>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</si>
  <si>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</si>
  <si>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</si>
  <si>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</si>
  <si>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</si>
  <si>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</si>
  <si>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</si>
  <si>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</si>
  <si>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</si>
  <si>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</si>
  <si>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</si>
  <si>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</si>
  <si>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</si>
  <si>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</si>
  <si>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</si>
  <si>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</si>
  <si>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</si>
  <si>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</si>
  <si>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</si>
  <si>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</si>
  <si>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</si>
  <si>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</si>
  <si>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</si>
  <si>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</si>
  <si>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</si>
  <si>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</si>
  <si>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</si>
  <si>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</si>
  <si>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</si>
  <si>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</si>
  <si>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</si>
  <si>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</si>
  <si>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</si>
  <si>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</si>
  <si>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</si>
  <si>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</si>
  <si>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</si>
  <si>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</si>
  <si>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</si>
  <si>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</si>
  <si>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</si>
  <si>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</si>
  <si>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</si>
  <si>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</si>
  <si>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</si>
  <si>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</si>
  <si>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</si>
  <si>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</si>
  <si>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</si>
  <si>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</si>
  <si>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</si>
  <si>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</si>
  <si>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</si>
  <si>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</si>
  <si>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</si>
  <si>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</si>
  <si>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</si>
  <si>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</si>
  <si>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</si>
  <si>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</si>
  <si>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</si>
  <si>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</si>
  <si>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</si>
  <si>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</si>
  <si>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</si>
  <si>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</si>
  <si>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</si>
  <si>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</si>
  <si>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</si>
  <si>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</si>
  <si>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</si>
  <si>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</si>
  <si>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</si>
  <si>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</si>
  <si>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</si>
  <si>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</si>
  <si>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</si>
  <si>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</si>
  <si>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</si>
  <si>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</si>
  <si>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</si>
  <si>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</si>
  <si>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</si>
  <si>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</si>
  <si>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</si>
  <si>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</si>
  <si>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</si>
  <si>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</si>
  <si>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</si>
  <si>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</si>
  <si>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</si>
  <si>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</si>
  <si>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</si>
  <si>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</si>
  <si>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</si>
  <si>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</si>
  <si>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</si>
  <si>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</si>
  <si>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</si>
  <si>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</si>
  <si>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</si>
  <si>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</si>
  <si>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</si>
  <si>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</si>
  <si>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</si>
  <si>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</si>
  <si>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</si>
  <si>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</si>
  <si>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</si>
  <si>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</si>
  <si>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</si>
  <si>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</si>
  <si>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</si>
  <si>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</si>
  <si>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</si>
  <si>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</si>
  <si>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</si>
  <si>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</si>
  <si>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</si>
  <si>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</si>
  <si>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</si>
  <si>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</si>
  <si>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</si>
  <si>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</si>
  <si>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</si>
  <si>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</si>
  <si>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</si>
  <si>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</si>
  <si>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</si>
  <si>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</si>
  <si>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</si>
  <si>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</si>
  <si>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</si>
  <si>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</si>
  <si>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</si>
  <si>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</si>
  <si>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</si>
  <si>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</si>
  <si>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</si>
  <si>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</si>
  <si>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</si>
  <si>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</si>
  <si>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</si>
  <si>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</si>
  <si>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</si>
  <si>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</si>
  <si>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</si>
  <si>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</si>
  <si>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</si>
  <si>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</si>
  <si>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</si>
  <si>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</si>
  <si>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</si>
  <si>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</si>
  <si>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</si>
  <si>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</si>
  <si>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</si>
  <si>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</si>
  <si>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</si>
  <si>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</si>
  <si>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</si>
  <si>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</si>
  <si>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</si>
  <si>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</si>
  <si>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</si>
  <si>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</si>
  <si>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</si>
  <si>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</si>
  <si>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</si>
  <si>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</si>
  <si>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</si>
  <si>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</si>
  <si>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</si>
  <si>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</si>
  <si>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</si>
  <si>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</si>
  <si>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</si>
  <si>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</si>
  <si>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</si>
  <si>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</si>
  <si>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</si>
  <si>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</si>
  <si>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</si>
  <si>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</si>
  <si>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</si>
  <si>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</si>
  <si>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</si>
  <si>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</si>
  <si>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</si>
  <si>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</si>
  <si>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</si>
  <si>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</si>
  <si>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</si>
  <si>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</si>
  <si>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</si>
  <si>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</si>
  <si>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</si>
  <si>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</si>
  <si>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</si>
  <si>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</si>
  <si>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</si>
  <si>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</si>
  <si>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</si>
  <si>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</si>
  <si>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</si>
  <si>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</si>
  <si>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</si>
  <si>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</si>
  <si>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</si>
  <si>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</si>
  <si>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</si>
  <si>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</si>
  <si>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</si>
  <si>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</si>
  <si>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</si>
  <si>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</si>
  <si>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</si>
  <si>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</si>
  <si>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</si>
  <si>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</si>
  <si>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</si>
  <si>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</si>
  <si>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</si>
  <si>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</si>
  <si>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</si>
  <si>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</si>
  <si>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</si>
  <si>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</si>
  <si>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</si>
  <si>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</si>
  <si>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</si>
  <si>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</si>
  <si>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</si>
  <si>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</si>
  <si>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</si>
  <si>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</si>
  <si>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</si>
  <si>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</si>
  <si>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</si>
  <si>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</si>
  <si>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</si>
  <si>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</si>
  <si>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</si>
  <si>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</si>
  <si>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</si>
  <si>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</si>
  <si>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</si>
  <si>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</si>
  <si>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</si>
  <si>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</si>
  <si>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</si>
  <si>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</si>
  <si>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</si>
  <si>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</si>
  <si>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</si>
  <si>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</si>
  <si>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</si>
  <si>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</si>
  <si>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</si>
  <si>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</si>
  <si>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</si>
  <si>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</si>
  <si>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</si>
  <si>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</si>
  <si>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</si>
  <si>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</si>
  <si>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</si>
  <si>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</si>
  <si>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</si>
  <si>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</si>
  <si>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</si>
  <si>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</si>
  <si>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</si>
  <si>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</si>
  <si>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</si>
  <si>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</si>
  <si>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</si>
  <si>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</si>
  <si>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</si>
  <si>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</si>
  <si>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</si>
  <si>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</si>
  <si>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</si>
  <si>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</si>
  <si>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</si>
  <si>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</si>
  <si>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</si>
  <si>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</si>
  <si>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</si>
  <si>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</si>
  <si>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</si>
  <si>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</si>
  <si>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</si>
  <si>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</si>
  <si>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</si>
  <si>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</si>
  <si>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</si>
  <si>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</si>
  <si>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</si>
  <si>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</si>
  <si>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</si>
  <si>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</si>
  <si>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</si>
  <si>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</si>
  <si>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</si>
  <si>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</si>
  <si>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</si>
  <si>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</si>
  <si>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</si>
  <si>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</si>
  <si>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</si>
  <si>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</si>
  <si>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</si>
  <si>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</si>
  <si>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</si>
  <si>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</si>
  <si>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</si>
  <si>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</si>
  <si>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</si>
  <si>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</si>
  <si>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</si>
  <si>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</si>
  <si>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</si>
  <si>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</si>
  <si>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</si>
  <si>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</si>
  <si>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</si>
  <si>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</si>
  <si>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</si>
  <si>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</si>
  <si>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</si>
  <si>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</si>
  <si>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</si>
  <si>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</si>
  <si>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</si>
  <si>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</si>
  <si>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</si>
  <si>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</si>
  <si>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</si>
  <si>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</si>
  <si>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</si>
  <si>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</si>
  <si>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</si>
  <si>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</si>
  <si>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</si>
  <si>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</si>
  <si>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</si>
  <si>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</si>
  <si>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</si>
  <si>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</si>
  <si>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</si>
  <si>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</si>
  <si>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</si>
  <si>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</si>
  <si>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</si>
  <si>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</si>
  <si>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</si>
  <si>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</si>
  <si>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</si>
  <si>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</si>
  <si>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</si>
  <si>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</si>
  <si>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</si>
  <si>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</si>
  <si>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</si>
  <si>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</si>
  <si>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</si>
  <si>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</si>
  <si>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</si>
  <si>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</si>
  <si>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</si>
  <si>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</si>
  <si>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</si>
  <si>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</si>
  <si>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</si>
  <si>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</si>
  <si>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</si>
  <si>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</si>
  <si>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</si>
  <si>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</si>
  <si>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</si>
  <si>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</si>
  <si>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</si>
  <si>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</si>
  <si>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</si>
  <si>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</si>
  <si>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</si>
  <si>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</si>
  <si>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</si>
  <si>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</si>
  <si>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</si>
  <si>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</si>
  <si>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</si>
  <si>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</si>
  <si>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</si>
  <si>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</si>
  <si>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</si>
  <si>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</si>
  <si>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</si>
  <si>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</si>
  <si>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</si>
  <si>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</si>
  <si>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</si>
  <si>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</si>
  <si>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</si>
  <si>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</si>
  <si>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</si>
  <si>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</si>
  <si>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</si>
  <si>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</si>
  <si>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</si>
  <si>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</si>
  <si>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</si>
  <si>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</si>
  <si>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</si>
  <si>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</si>
  <si>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</si>
  <si>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</si>
  <si>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</si>
  <si>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</si>
  <si>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</si>
  <si>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</si>
  <si>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</si>
  <si>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</si>
  <si>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</si>
  <si>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</si>
  <si>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</si>
  <si>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</si>
  <si>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</si>
  <si>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</si>
  <si>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</si>
  <si>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</si>
  <si>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</si>
  <si>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</si>
  <si>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</si>
  <si>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</si>
  <si>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</si>
  <si>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</si>
  <si>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</si>
  <si>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</si>
  <si>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</si>
  <si>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</si>
  <si>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</si>
  <si>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</si>
  <si>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</si>
  <si>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</si>
  <si>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</si>
  <si>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</si>
  <si>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</si>
  <si>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</si>
  <si>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</si>
  <si>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</si>
  <si>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</si>
  <si>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</si>
  <si>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</si>
  <si>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</si>
  <si>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</si>
  <si>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</si>
  <si>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</si>
  <si>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</si>
  <si>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</si>
  <si>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</si>
  <si>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</si>
  <si>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</si>
  <si>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</si>
  <si>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</si>
  <si>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</si>
  <si>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</si>
  <si>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</si>
  <si>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</si>
  <si>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</si>
  <si>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</si>
  <si>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</si>
  <si>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</si>
  <si>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</si>
  <si>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</si>
  <si>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</si>
  <si>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</si>
  <si>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</si>
  <si>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</si>
  <si>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</si>
  <si>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</si>
  <si>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</si>
  <si>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</si>
  <si>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</si>
  <si>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</si>
  <si>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</si>
  <si>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</si>
  <si>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</si>
  <si>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</si>
  <si>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</si>
  <si>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</si>
  <si>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</si>
  <si>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</si>
  <si>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</si>
  <si>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</si>
  <si>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</si>
  <si>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</si>
  <si>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</si>
  <si>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</si>
  <si>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</si>
  <si>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</si>
  <si>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</si>
  <si>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</si>
  <si>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</si>
  <si>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</si>
  <si>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</si>
  <si>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</si>
  <si>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</si>
  <si>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</si>
  <si>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</si>
  <si>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</si>
  <si>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</si>
  <si>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</si>
  <si>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</si>
  <si>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</si>
  <si>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</si>
  <si>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</si>
  <si>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</si>
  <si>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</si>
  <si>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</si>
  <si>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</si>
  <si>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</si>
  <si>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</si>
  <si>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</si>
  <si>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</si>
  <si>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</si>
  <si>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</si>
  <si>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</si>
  <si>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</si>
  <si>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</si>
  <si>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</si>
  <si>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</si>
  <si>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</si>
  <si>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</si>
  <si>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</si>
  <si>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</si>
  <si>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</si>
  <si>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</si>
  <si>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</si>
  <si>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</si>
  <si>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</si>
  <si>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</si>
  <si>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</si>
  <si>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</si>
  <si>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</si>
  <si>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</si>
  <si>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</si>
  <si>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</si>
  <si>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</si>
  <si>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</si>
  <si>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</si>
  <si>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</si>
  <si>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</si>
  <si>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</si>
  <si>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</si>
  <si>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</si>
  <si>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</si>
  <si>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</si>
  <si>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</si>
  <si>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</si>
  <si>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</si>
  <si>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</si>
  <si>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</si>
  <si>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</si>
  <si>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</si>
  <si>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</si>
  <si>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</si>
  <si>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</si>
  <si>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</si>
  <si>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</si>
  <si>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</si>
  <si>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</si>
  <si>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</si>
  <si>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</si>
  <si>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</si>
  <si>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</si>
  <si>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</si>
  <si>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</si>
  <si>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</si>
  <si>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</si>
  <si>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</si>
  <si>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</si>
  <si>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</si>
  <si>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</si>
  <si>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</si>
  <si>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</si>
  <si>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</si>
  <si>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</si>
  <si>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</si>
  <si>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</si>
  <si>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</si>
  <si>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</si>
  <si>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</si>
  <si>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</si>
  <si>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</si>
  <si>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</si>
  <si>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</si>
  <si>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</si>
  <si>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</si>
  <si>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</si>
  <si>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</si>
  <si>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</si>
  <si>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</si>
  <si>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</si>
  <si>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</si>
  <si>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</si>
  <si>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</si>
  <si>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</si>
  <si>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</si>
  <si>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</si>
  <si>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</si>
  <si>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</si>
  <si>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</si>
  <si>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</si>
  <si>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</si>
  <si>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</si>
  <si>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</si>
  <si>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</si>
  <si>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</si>
  <si>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</si>
  <si>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</si>
  <si>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</si>
  <si>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</si>
  <si>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</si>
  <si>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</si>
  <si>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</si>
  <si>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</si>
  <si>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</si>
  <si>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</si>
  <si>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</si>
  <si>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</si>
  <si>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</si>
  <si>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</si>
  <si>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</si>
  <si>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</si>
  <si>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</si>
  <si>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</si>
  <si>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</si>
  <si>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</si>
  <si>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</si>
  <si>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</si>
  <si>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</si>
  <si>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</si>
  <si>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</si>
  <si>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</si>
  <si>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</si>
  <si>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</si>
  <si>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</si>
  <si>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</si>
  <si>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</si>
  <si>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</si>
  <si>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</si>
  <si>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</si>
  <si>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</si>
  <si>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</si>
  <si>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</si>
  <si>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</si>
  <si>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</si>
  <si>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</si>
  <si>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</si>
  <si>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</si>
  <si>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</si>
  <si>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</si>
  <si>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</si>
  <si>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</si>
  <si>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</si>
  <si>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</si>
  <si>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</si>
  <si>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</si>
  <si>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</si>
  <si>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</si>
  <si>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</si>
  <si>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</si>
  <si>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</si>
  <si>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</si>
  <si>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</si>
  <si>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</si>
  <si>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</si>
  <si>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</si>
  <si>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</si>
  <si>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</si>
  <si>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</si>
  <si>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</si>
  <si>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</si>
  <si>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</si>
  <si>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</si>
  <si>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</si>
  <si>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</si>
  <si>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</si>
  <si>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</si>
  <si>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</si>
  <si>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</si>
  <si>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</si>
  <si>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</si>
  <si>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</si>
  <si>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</si>
  <si>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</si>
  <si>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</si>
  <si>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</si>
  <si>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</si>
  <si>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</si>
  <si>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</si>
  <si>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</si>
  <si>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</si>
  <si>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</si>
  <si>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</si>
  <si>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</si>
  <si>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</si>
  <si>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</si>
  <si>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</si>
  <si>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</si>
  <si>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</si>
  <si>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</si>
  <si>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</si>
  <si>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</si>
  <si>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</si>
  <si>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</si>
  <si>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</si>
  <si>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</si>
  <si>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</si>
  <si>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</si>
  <si>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</si>
  <si>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</si>
  <si>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</si>
  <si>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</si>
  <si>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</si>
  <si>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</si>
  <si>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</si>
  <si>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</si>
  <si>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</si>
  <si>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</si>
  <si>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</si>
  <si>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</si>
  <si>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</si>
  <si>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</si>
  <si>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</si>
  <si>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</si>
  <si>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</si>
  <si>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</si>
  <si>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</si>
  <si>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</si>
  <si>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</si>
  <si>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</si>
  <si>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</si>
  <si>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</si>
  <si>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</si>
  <si>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</si>
  <si>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</si>
  <si>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</si>
  <si>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</si>
  <si>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</si>
  <si>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</si>
  <si>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</si>
  <si>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</si>
  <si>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</si>
  <si>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</si>
  <si>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</si>
  <si>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</si>
  <si>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</si>
  <si>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</si>
  <si>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</si>
  <si>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</si>
  <si>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</si>
  <si>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</si>
  <si>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</si>
  <si>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</si>
  <si>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</si>
  <si>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</si>
  <si>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</si>
  <si>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</si>
  <si>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</si>
  <si>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</si>
  <si>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</si>
  <si>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</si>
  <si>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</si>
  <si>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</si>
  <si>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</si>
  <si>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</si>
  <si>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</si>
  <si>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</si>
  <si>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</si>
  <si>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</si>
  <si>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</si>
  <si>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</si>
  <si>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</si>
  <si>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</si>
  <si>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</si>
  <si>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</si>
  <si>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</si>
  <si>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</si>
  <si>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</si>
  <si>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</si>
  <si>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</si>
  <si>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</si>
  <si>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</si>
  <si>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</si>
  <si>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</si>
  <si>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</si>
  <si>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</si>
  <si>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</si>
  <si>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</si>
  <si>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</si>
  <si>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</si>
  <si>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</si>
  <si>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</si>
  <si>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</si>
  <si>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</si>
  <si>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</si>
  <si>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</si>
  <si>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</si>
  <si>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</si>
  <si>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</si>
  <si>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</si>
  <si>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</si>
  <si>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</si>
  <si>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</si>
  <si>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</si>
  <si>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</si>
  <si>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</si>
  <si>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</si>
  <si>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</si>
  <si>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</si>
  <si>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</si>
  <si>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</si>
  <si>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</si>
  <si>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</si>
  <si>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</si>
  <si>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</si>
  <si>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</si>
  <si>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</si>
  <si>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</si>
  <si>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</si>
  <si>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</si>
  <si>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</si>
  <si>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</si>
  <si>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</si>
  <si>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</si>
  <si>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</si>
  <si>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</si>
  <si>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</si>
  <si>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</si>
  <si>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</si>
  <si>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</si>
  <si>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</si>
  <si>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</si>
  <si>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</si>
  <si>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</si>
  <si>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</si>
  <si>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</si>
  <si>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</si>
  <si>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</si>
  <si>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</si>
  <si>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</si>
  <si>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</si>
  <si>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</si>
  <si>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</si>
  <si>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</si>
  <si>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</si>
  <si>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</si>
  <si>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</si>
  <si>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</si>
  <si>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</si>
  <si>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</si>
  <si>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</si>
  <si>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</si>
  <si>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</si>
  <si>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</si>
  <si>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</si>
  <si>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</si>
  <si>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</si>
  <si>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</si>
  <si>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</si>
  <si>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</si>
  <si>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</si>
  <si>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</si>
  <si>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</si>
  <si>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</si>
  <si>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</si>
  <si>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</si>
  <si>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</si>
  <si>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</si>
  <si>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</si>
  <si>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</si>
  <si>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</si>
  <si>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</si>
  <si>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</si>
  <si>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</si>
  <si>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</si>
  <si>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</si>
  <si>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</si>
  <si>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</si>
  <si>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</si>
  <si>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</si>
  <si>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</si>
  <si>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</si>
  <si>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</si>
  <si>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</si>
  <si>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</si>
  <si>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</si>
  <si>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</si>
  <si>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</si>
  <si>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</si>
  <si>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</si>
  <si>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</si>
  <si>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</si>
  <si>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</si>
  <si>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</si>
  <si>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</si>
  <si>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</si>
  <si>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</si>
  <si>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</si>
  <si>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</si>
  <si>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</si>
  <si>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</si>
  <si>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</si>
  <si>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</si>
  <si>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</si>
  <si>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No hay meta establecida para este trimestre.</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</si>
  <si>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</si>
  <si>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</si>
  <si>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</si>
  <si>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</si>
  <si>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</si>
  <si>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</si>
  <si>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</si>
  <si>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</si>
  <si>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</si>
  <si>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</si>
  <si>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</si>
  <si>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</si>
  <si>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</si>
  <si>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</si>
  <si>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</si>
  <si>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</si>
  <si>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</si>
  <si>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</si>
  <si>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</si>
  <si>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</si>
  <si>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</si>
  <si>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</si>
  <si>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</si>
  <si>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</si>
  <si>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</si>
  <si>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</si>
  <si>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</si>
  <si>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</si>
  <si>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</si>
  <si>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</si>
  <si>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</si>
  <si>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</si>
  <si>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</si>
  <si>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</si>
  <si>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</si>
  <si>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</si>
  <si>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</si>
  <si>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</si>
  <si>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</si>
  <si>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</si>
  <si>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</si>
  <si>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</si>
  <si>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</si>
  <si>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</si>
  <si>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</si>
  <si>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</si>
  <si>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</si>
  <si>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</si>
  <si>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</si>
  <si>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</si>
  <si>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</si>
  <si>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</si>
  <si>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</si>
  <si>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</si>
  <si>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</si>
  <si>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</si>
  <si>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</si>
  <si>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</si>
  <si>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</si>
  <si>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</si>
  <si>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</si>
  <si>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</si>
  <si>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</si>
  <si>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</si>
  <si>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</si>
  <si>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</si>
  <si>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</si>
  <si>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</si>
  <si>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</si>
  <si>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</si>
  <si>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</si>
  <si>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</si>
  <si>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</si>
  <si>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</si>
  <si>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</si>
  <si>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</si>
  <si>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</si>
  <si>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</si>
  <si>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</si>
  <si>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</si>
  <si>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</si>
  <si>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</si>
  <si>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</si>
  <si>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</si>
  <si>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</si>
  <si>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</si>
  <si>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</si>
  <si>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</si>
  <si>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</si>
  <si>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</si>
  <si>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</si>
  <si>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</si>
  <si>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</si>
  <si>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</si>
  <si>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</si>
  <si>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</si>
  <si>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</si>
  <si>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</si>
  <si>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</si>
  <si>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</si>
  <si>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</si>
  <si>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</si>
  <si>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</si>
  <si>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</si>
  <si>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</si>
  <si>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</si>
  <si>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</si>
  <si>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</si>
  <si>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</si>
  <si>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</si>
  <si>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</si>
  <si>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</si>
  <si>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</si>
  <si>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</si>
  <si>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</si>
  <si>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</si>
  <si>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</si>
  <si>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</si>
  <si>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</si>
  <si>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</si>
  <si>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</si>
  <si>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</si>
  <si>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</si>
  <si>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</si>
  <si>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</si>
  <si>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</si>
  <si>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</si>
  <si>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</si>
  <si>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</si>
  <si>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</si>
  <si>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</si>
  <si>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</si>
  <si>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</si>
  <si>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</si>
  <si>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</si>
  <si>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</si>
  <si>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</si>
  <si>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</si>
  <si>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</si>
  <si>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</si>
  <si>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</si>
  <si>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</si>
  <si>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</si>
  <si>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</si>
  <si>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</si>
  <si>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</si>
  <si>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</si>
  <si>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</si>
  <si>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</si>
  <si>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</si>
  <si>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</si>
  <si>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</si>
  <si>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</si>
  <si>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</si>
  <si>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</si>
  <si>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</si>
  <si>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</si>
  <si>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</si>
  <si>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</si>
  <si>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</si>
  <si>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</si>
  <si>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</si>
  <si>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</si>
  <si>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</si>
  <si>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</si>
  <si>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</si>
  <si>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</si>
  <si>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</si>
  <si>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</si>
  <si>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</si>
  <si>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</si>
  <si>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</si>
  <si>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</si>
  <si>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</si>
  <si>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</si>
  <si>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</si>
  <si>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</si>
  <si>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</si>
  <si>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</si>
  <si>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</si>
  <si>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</si>
  <si>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</si>
  <si>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</si>
  <si>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</si>
  <si>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</si>
  <si>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</si>
  <si>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</si>
  <si>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</si>
  <si>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</si>
  <si>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</si>
  <si>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</si>
  <si>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</si>
  <si>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</si>
  <si>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</si>
  <si>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</si>
  <si>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</si>
  <si>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</si>
  <si>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</si>
  <si>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</si>
  <si>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</si>
  <si>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</si>
  <si>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</si>
  <si>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</si>
  <si>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</si>
  <si>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</si>
  <si>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</si>
  <si>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</si>
  <si>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</si>
  <si>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</si>
  <si>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</si>
  <si>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</si>
  <si>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</si>
  <si>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</si>
  <si>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</si>
  <si>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</si>
  <si>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</si>
  <si>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</si>
  <si>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</si>
  <si>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</si>
  <si>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</si>
  <si>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</si>
  <si>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</si>
  <si>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</si>
  <si>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</si>
  <si>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</si>
  <si>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</si>
  <si>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</si>
  <si>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</si>
  <si>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</si>
  <si>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</si>
  <si>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</si>
  <si>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</si>
  <si>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</si>
  <si>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</si>
  <si>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</si>
  <si>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</si>
  <si>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</si>
  <si>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</si>
  <si>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</si>
  <si>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</si>
  <si>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</si>
  <si>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</si>
  <si>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</si>
  <si>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</si>
  <si>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</si>
  <si>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</si>
  <si>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</si>
  <si>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</si>
  <si>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</si>
  <si>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</si>
  <si>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</si>
  <si>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</si>
  <si>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</si>
  <si>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</si>
  <si>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</si>
  <si>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</si>
  <si>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</si>
  <si>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</si>
  <si>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</si>
  <si>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</si>
  <si>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</si>
  <si>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</si>
  <si>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</si>
  <si>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</si>
  <si>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</si>
  <si>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</si>
  <si>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</si>
  <si>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</si>
  <si>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</si>
  <si>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</si>
  <si>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</si>
  <si>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</si>
  <si>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</si>
  <si>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</si>
  <si>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</si>
  <si>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</si>
  <si>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</si>
  <si>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</si>
  <si>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</si>
  <si>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</si>
  <si>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</si>
  <si>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</si>
  <si>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</si>
  <si>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</si>
  <si>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</si>
  <si>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</si>
  <si>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</si>
  <si>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</si>
  <si>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</si>
  <si>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</si>
  <si>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</si>
  <si>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</si>
  <si>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</si>
  <si>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</si>
  <si>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</si>
  <si>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</si>
  <si>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</si>
  <si>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</si>
  <si>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</si>
  <si>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</si>
  <si>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</si>
  <si>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</si>
  <si>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</si>
  <si>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</si>
  <si>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</si>
  <si>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</si>
  <si>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</si>
  <si>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</si>
  <si>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</si>
  <si>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</si>
  <si>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</si>
  <si>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</si>
  <si>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</si>
  <si>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</si>
  <si>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</si>
  <si>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</si>
  <si>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</si>
  <si>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</si>
  <si>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</si>
  <si>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</si>
  <si>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</si>
  <si>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</si>
  <si>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</si>
  <si>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</si>
  <si>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</si>
  <si>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</si>
  <si>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</si>
  <si>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</si>
  <si>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</si>
  <si>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</si>
  <si>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</si>
  <si>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</si>
  <si>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</si>
  <si>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</si>
  <si>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</si>
  <si>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</si>
  <si>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</si>
  <si>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</si>
  <si>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</si>
  <si>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</si>
  <si>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</si>
  <si>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t>Criterio Diferencial de Accesibilidad</t>
  </si>
  <si>
    <t>Mecanismos para la transparencia y el acceso a la información pública</t>
  </si>
  <si>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</si>
  <si>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</si>
  <si>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</si>
  <si>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</si>
  <si>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</si>
  <si>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</si>
  <si>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</si>
  <si>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</si>
  <si>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</si>
  <si>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</si>
  <si>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</si>
  <si>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</si>
  <si>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</si>
  <si>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</si>
  <si>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</si>
  <si>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</si>
  <si>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</si>
  <si>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</si>
  <si>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</si>
  <si>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</si>
  <si>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</si>
  <si>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</si>
  <si>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</si>
  <si>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</si>
  <si>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</si>
  <si>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</si>
  <si>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</si>
  <si>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</si>
  <si>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</si>
  <si>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</si>
  <si>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</si>
  <si>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</si>
  <si>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t xml:space="preserve">Desarrollar la herramienta tecnológica en el Sistema de Gestión de PQRSD- CRM las funcionalidades que permitan medir tiempos de atención y satisfacción en el servicio brindado por el canal presencial. </t>
  </si>
  <si>
    <t>Sistema de Gestión de PQRSD- CRM con funcionalidades para medir tiempos de atención y satisfacción del usuario</t>
  </si>
  <si>
    <t># funcionalidades del Sistema de Gestión de PQRSD- CRM implementadas para medir tiempos de atención y satisfacción del usuario.</t>
  </si>
  <si>
    <t>Se modificó la actividad 11700-1-49, su producto, meta, indicador y valor toda vez que puede ser implementada en la herramienta del Sistema de Gestión de PQRSD- CRM mediante desarrollo tecnológico a cargo de la Dirección de las TIC. Además, se eliminó esta línea en el Plan Anual de Adquisiciones y se anuló el CDP No. 272 del 12 de abril de 2019, mediante el cual se certificó la apropiación por valor de $30.000.000.oo” para la “Adquisición, instalación y puesta en funcionamiento de un digiturno, de acuerdo a las especificaciones técnicas definidas por ADRES”.</t>
  </si>
  <si>
    <t>Relacionamiento con el ciudadano
Criterio Diferencial de Accesibilidad</t>
  </si>
  <si>
    <t>Normativo y procedimental
Lineamientos de transparencia pasiva
Monitoreo y Acceso a la Información Pública</t>
  </si>
  <si>
    <t>Normativo y procedimental
Lineamientos de transparencia pasiva</t>
  </si>
  <si>
    <t>Mecanismos para mejorar la atención al ciudadano
Mecanismos para la transparencia y el acceso a la información pública</t>
  </si>
  <si>
    <t>Talento Humano
Fortalecimiento de canales de atención</t>
  </si>
  <si>
    <t xml:space="preserve">
Talento Humano
Normativo y procedimental
Lineamientos de transparencia pasiva</t>
  </si>
  <si>
    <t>Talento Humano
Fortalecimiento de canales de atención
Lineamientos de transparencia pasiva</t>
  </si>
  <si>
    <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
Esta jornada generó conciencia sobre los deberes y responsabilidades que tienen las partes interesadas en la ADRES sobre la implementación de unas políticas del Sistema de Gestión de Seguridad y Salud en el Trabajo.</t>
    </r>
  </si>
  <si>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rFont val="Verdana"/>
        <family val="2"/>
      </rPr>
      <t xml:space="preserve">
Este producto permitió evidenciar la forma adecuada de atender, gestionar y registrar un incidente laboral. </t>
    </r>
  </si>
  <si>
    <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
Esta actividad se realizó a costo "cero", a razón de que al corte del 29 de marzo de 2019, aún estaba en proceso de contratación.</t>
    </r>
  </si>
  <si>
    <t>Información de calidad y en formato comprensible
Evaluación y Retroalimentación a la Gestión Institucional</t>
  </si>
  <si>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Participación en la formulación de planes, proyectos y programas, como espacio de participación ciudadana; y Decisiones y/o políticas que afectan al público,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</si>
  <si>
    <t>Se aumentó la meta del producto 12000-1-6-2 incluyendo una reunión más de autocontrol para la OAPCR en el tercer trimestre, debido a que la OAPCR ha venido desarrollando mínimo una reunión de autocontrol trimestralmente, por lo que se ve la necesidad de reflejar esta realidad en el Plan de Acción.</t>
  </si>
  <si>
    <r>
      <t xml:space="preserve"># de seguimientos y evaluaciones de control interno realizadas en el trimestre 
</t>
    </r>
    <r>
      <rPr>
        <b/>
        <sz val="10"/>
        <rFont val="Verdana"/>
        <family val="2"/>
      </rPr>
      <t>Indicador Variable acumulado y de eficacia</t>
    </r>
  </si>
  <si>
    <r>
      <t xml:space="preserve"># de Informes Legales Internos presentados en cada trimestre </t>
    </r>
    <r>
      <rPr>
        <b/>
        <sz val="10"/>
        <rFont val="Verdana"/>
        <family val="2"/>
      </rPr>
      <t>Indicador Variable acumulado y de eficacia</t>
    </r>
  </si>
  <si>
    <r>
      <t xml:space="preserve"># de Informes Legales Externos presentados en cada trimestre </t>
    </r>
    <r>
      <rPr>
        <b/>
        <sz val="10"/>
        <rFont val="Verdana"/>
        <family val="2"/>
      </rPr>
      <t>Indicador Variable acumulado y de eficacia</t>
    </r>
  </si>
  <si>
    <r>
      <t xml:space="preserve"># de seguimientos realizados según normatividad vigente
</t>
    </r>
    <r>
      <rPr>
        <b/>
        <sz val="10"/>
        <rFont val="Verdana"/>
        <family val="2"/>
      </rPr>
      <t>Indicador acumulado y de eficacia</t>
    </r>
  </si>
  <si>
    <r>
      <t xml:space="preserve"># Boletines de Autocontrol socializados con los funcionarios de la ADRES 
</t>
    </r>
    <r>
      <rPr>
        <b/>
        <sz val="10"/>
        <rFont val="Verdana"/>
        <family val="2"/>
      </rPr>
      <t>Indicador acumulado</t>
    </r>
  </si>
  <si>
    <t xml:space="preserve">Se modifica la periodicidad de la actividad relacionada con el Plan Anual de Auditorías y se generan las reprogramaciones para III y IV trimestre, teniendo en cuenta que la auditoria al proceso de Gestión Jurídica Cobro Coactivo, asignada inicialmente a Ligia Andrea Florez, pasa para ejecución en octubre de 2019, por concepto de asignación de otras actividades prioritarias a la funcionaria. </t>
  </si>
  <si>
    <t>Diego Santacruz
Jefe de Control Interno</t>
  </si>
  <si>
    <r>
      <t>20190630</t>
    </r>
    <r>
      <rPr>
        <sz val="1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</si>
  <si>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rFont val="Calibri"/>
        <family val="2"/>
        <scheme val="minor"/>
      </rPr>
      <t>. Para este trimestre, esta actividad no tenía alcance definido.</t>
    </r>
  </si>
  <si>
    <t>Priorización de Trámites
Racionalización de Tramites</t>
  </si>
  <si>
    <t xml:space="preserve">Modelo operativo del saneamiento definitivo </t>
  </si>
  <si>
    <t>Proyectos de decreto y resolución del MSPS para la reglamentación del saneamiento definitivo con observaciones y/o aportes por parte de ADRES</t>
  </si>
  <si>
    <t>Documento con insumos, recomendaciones, observaciones o  propuestas metodológicas frente a la implementación del mecanismo de techos  o presupuesto máximos.</t>
  </si>
  <si>
    <t xml:space="preserve">Proyecto de resolución de la ADRES para adoptar los lineamientos y específicas técnicas y operativas para la implementación del mecanismo de techos  o presupuesto máximos. </t>
  </si>
  <si>
    <t>Apoyar al Ministerio de Salud y Protección Social en la estructuración del saneamiento definitivo de las cuentas de recobro relacionadas con los servicios y tecnologías de salud no financiados con cargo a la UPC del régimen contributivo.</t>
  </si>
  <si>
    <t>Apoyar al Ministerio de Salud y Protección Social en la definición de los techos o presupuesto máximos que la ADRES transferirá a las EPS para financiar y gestionar los servicios y tecnologías en salud no financiados con la UPC.</t>
  </si>
  <si>
    <t>11400-1-2</t>
  </si>
  <si>
    <t>11400-1-2-2</t>
  </si>
  <si>
    <t>11400-1-2-1</t>
  </si>
  <si>
    <t># Documento que contengan el Modelo operativo del saneamiento definitivo elaborados</t>
  </si>
  <si>
    <t># Documentos (Proyectos de decreto y resolución del MSPS) con observaciones y/o aportes por parte de ADRES elaborados</t>
  </si>
  <si>
    <t># Documento con insumos, recomendaciones, observaciones o  propuestas metodológicas frente a la implementación del mecanismo de techos  o presupuesto máximos, remitidos al MSPS</t>
  </si>
  <si>
    <t xml:space="preserve"># Proyecto de resolución de la ADRES para adoptar los lineamientos y específicas técnicas y operativas elaborados. </t>
  </si>
  <si>
    <t>Cristina Arango
Directora General</t>
  </si>
  <si>
    <t>Alvaro Rojas
Director de Liquidaciones y Garantías</t>
  </si>
  <si>
    <t>Se incluyeron en el Plan Misional las actividades 11400-1-1 y 11400-1-2 con sus respectivos productos, metas e indicadores motivados por la necesidad de alinear los instrumentos de planeación institucionales con las prioridades de política pública definidas en el nuevo Plan Nacional de Desarrollo 2018-2022;  específicamente para dar cumplimiento a los Artículos 237 (Sostenibilidad financiera del SGSSS) y 240 (Estrategia de Techos o presupuesto máximo) de la Ley 1955 de 2019.</t>
  </si>
  <si>
    <t>Se retiró la actividad 11700-1-57 por disposición del Comité Institucional de Gestión y Desempeño, en razón a que la Participación de la ADRES en ferias de atención al ciudadano depende de la programación del Departamento Nacional de Planeación y de la alineación de las necesidades de cobertura e impacto de la ADRES con esa programación, y en consecuencia se podría incluir dentro de la política de participación ciudadano, y en ese sentido, no es necesaria en el Plan de Acción de la Entidad.</t>
  </si>
  <si>
    <t>Se amplía 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</si>
  <si>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</si>
  <si>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El responsable de las líneas de acción 11400-1-1-5 y 11400-1-1-6 ajusta el valor total y trimestrales, toda vez que el valor total de los contratos del Plan Anual de Adquisiciones relacionados con prestaciones económicas y devolución de aportes se encontraba en la actividad 11400-1-1-5, y la mitad de ese valor corresponde a devolución de aportes.</t>
  </si>
  <si>
    <t>El responsable de las siguientes líneas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</si>
  <si>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también se le incluyo un indicador y su correspondiente meta.</t>
  </si>
  <si>
    <t>Se ajustó la redacción de los siguientes ítems:
* Producto con código 11500-1-1-2-1 y su respectivo indicador
* Actividad con código 11500-1-1-5 unificando sus indicadores en uno solo que reúne los dos.
* Actividad con código 11500-1-1-7 y su correspondiente indicador
* Indicador de la actividad con código 11500-1-1-8</t>
  </si>
  <si>
    <t xml:space="preserve">Se modifican los indicadores de la actividades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</si>
  <si>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Carlos Cáceres
Coordinador Grupo Interno de Gestión del Talento Humano</t>
  </si>
  <si>
    <t>Se ajustaron las metas de II y III trimestre de la actividad con código 11800-1-3 en razón a que se espera culminar el 30 de julio la actividad “Implementar el SARLAFT” y depende de varios factores entre estos la disponibilidad de tiempo de las dependencias involucradas.</t>
  </si>
  <si>
    <t>Se da cumplimiento al reporte correspondiente al tercer trimestre de 2019, el viernes 18 de octubre de 2019.</t>
  </si>
  <si>
    <r>
      <t xml:space="preserve">Se dio cumplimiento al avance del 46% correspondiente a la realización de 4 informes de seguimientos y evaluaciones de control interno realizadas en el trimestre. En la ruta </t>
    </r>
    <r>
      <rPr>
        <b/>
        <sz val="10"/>
        <rFont val="Verdana"/>
        <family val="2"/>
      </rPr>
      <t>\ADRES\Plan de Acción 2019 - Oficina Control Interno\Evidencias Productos\III trimestre\11800-1-2-1,</t>
    </r>
    <r>
      <rPr>
        <sz val="10"/>
        <rFont val="Verdana"/>
        <family val="2"/>
      </rPr>
      <t xml:space="preserve"> se encuentran 4 carpetas con los respectivos informes y soportes de cumplimiento.
1. GESTIÓN DE TECNOLOGIAS: Gestión de Cambios.
2. GESTIÓN CONTABLE Y CONTROL DE RECURSOS: UGG (Agosto)
3.GESTION DE TALENTO HUMANO 
SELECCIÓN DE PLANTA DE PERSONAL
GENERACIÓN Y LIQUIDACIÓN DE NOMINA
4. GESTIÓN DE RENTAS CEDIDAS</t>
    </r>
  </si>
  <si>
    <r>
      <t xml:space="preserve">Se dio cumplimiento al avance del 80% correspondiente a la realización de 5 informes para dar respuesta a los Requerimientos Legales Internos. En la ruta </t>
    </r>
    <r>
      <rPr>
        <b/>
        <sz val="10"/>
        <rFont val="Verdana"/>
        <family val="2"/>
      </rPr>
      <t>\ADRES\Plan de Acción 2019 - Oficina Control Interno\Evidencias Productos\III trimestre\11800-1-3-1</t>
    </r>
    <r>
      <rPr>
        <sz val="10"/>
        <rFont val="Verdana"/>
        <family val="2"/>
      </rPr>
      <t>, se encuentran 5 carpetas con los respectivos informes y soportes de cumplimiento.
1.	Seguimiento a las medidas de austeridad en el gasto público en ADRES (Informe Julio).
2.	Seguimiento Plan Anticorrupción (Informe  Septiembre).
3.	 Informe cuatrimestral y pormenorizado del estado del control interno de ADRES (Julio).
4.	Informe de Seguimiento a la ejecución del Plan de Acción, Plan Estratégico y Tablero de Control (Informe Agosto).
5.	Verificación, Seguimiento a la Implementación de Modelo de Seguridad y Privacidad de la Información - MSPI. Ministerio de las TIC. (Informe Julio).</t>
    </r>
  </si>
  <si>
    <r>
      <t>Se dio cumplimiento al avance del 94% correspondiente a la realización de 5 informes para dar respuesta a los Requerimientos Legales Externos. En la ruta \</t>
    </r>
    <r>
      <rPr>
        <b/>
        <sz val="10"/>
        <rFont val="Verdana"/>
        <family val="2"/>
      </rPr>
      <t>ADRES\Plan de Acción 2019 - Oficina Control Interno\Evidencias Productos\III trimestre\11800-1-4-1</t>
    </r>
    <r>
      <rPr>
        <sz val="10"/>
        <rFont val="Verdana"/>
        <family val="2"/>
      </rPr>
      <t>, se encuentran 5 carpetas con los respectivos informes y soportes de cumplimiento.
1.	Seguimiento al Plan de Mejoramiento con la CGR, cargue al SIRECI (informe Julio). 
2.  Revisión y envío de la Gestión Contractual del Trimestre a la CGR, a través del SIRECI (Reporte Julio).
3.	Expedir certificación dirigida a  la AGENCIA NACIONAL DE DEFENSA JURIDICA DEL ESTADO en e-KOGUI. (Certificación septiembre).
4.	Informe del Estado de Ejecución del Presupuesto de la Entidad (Informe Septiembre) .
5.	Seguimiento y Evaluación Mapa de Riesgos Institucional y de corrupción (Informe Septiembre).</t>
    </r>
  </si>
  <si>
    <r>
      <t>Se da cumplimiento al avance del 100%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Productos\III trimestre\11800-1-5-1. </t>
    </r>
    <r>
      <rPr>
        <sz val="10"/>
        <rFont val="Verdana"/>
        <family val="2"/>
      </rPr>
      <t xml:space="preserve">
* Informe Plan de Mejoramiento CGR II Semestre 2018
* Certificado_SIRECI Julio</t>
    </r>
  </si>
  <si>
    <r>
      <t xml:space="preserve">Se da cumplimiento al avance del 75% correspondiente a la emisión de 3 Boletines de autocontrol. En la ruta </t>
    </r>
    <r>
      <rPr>
        <b/>
        <sz val="10"/>
        <rFont val="Verdana"/>
        <family val="2"/>
      </rPr>
      <t>\ADRES\Plan de Acción 2019 - Oficina Control Interno\Evidencias Productos\III trimestre\11800-1-6-</t>
    </r>
    <r>
      <rPr>
        <sz val="10"/>
        <rFont val="Verdana"/>
        <family val="2"/>
      </rPr>
      <t xml:space="preserve">1 se encuentran los 3 boletines emitidos por la OCI correspondientes a los meses de julio, agosto y septiembre de 2019. 
1.Boletín No. 7 - MIPG y sus dimensiones .
2.Boletín No. 8 - Principios de MIPG.
3.Boletín No. 9 - CLASIFICACION DE LAS ACTIVIDADES DE CONTROL </t>
    </r>
  </si>
  <si>
    <t xml:space="preserve">
Seguimiento a Mapas de Riesgo realizado en carpeta TEAMS.</t>
  </si>
  <si>
    <r>
      <rPr>
        <b/>
        <sz val="10"/>
        <rFont val="Verdana"/>
        <family val="2"/>
      </rPr>
      <t>20190930</t>
    </r>
    <r>
      <rPr>
        <sz val="10"/>
        <rFont val="Verdana"/>
        <family val="2"/>
      </rPr>
      <t>.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53.770
# Registros notificados en auditorias preventivas igual a 231.070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47.994 registros más. 
El soporte de medición de la evidencia para la actual actividad se encuentra en Evidencia\III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Evidencia\III trimestre\Estratégico\11600-1-1-1-1\ WilliamAndrésPáez.
Por lo tanto, para el presente seguimiento, se tenía definido un total de $36.720.000, de los cuales hasta el momento se han causado obligaciones por un valor de $36.720.000 dando un cumplimiento de 100.00 %.</t>
    </r>
  </si>
  <si>
    <r>
      <rPr>
        <b/>
        <sz val="10"/>
        <rFont val="Verdana"/>
        <family val="2"/>
      </rPr>
      <t>20190930.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999
#PQRSD BDUA recibidas con fecha máxima de respuesta en el trimestre igual a 1.036 
CRM
# PQRSD BDUA atendidas en términos de ley en el trimestre igual a 980
#PQRSD BDUA recibidas con fecha máxima de respuesta en el trimestre igual a 1.069 
Teniendo en cuenta que la meta anual se definió como 100% y por lo tanto la meta trimestral quedo en 25%, el comportamiento del indicador para este periodo de medición fue 24.93%.
El soporte de medición de la evidencia para la actual actividad se encuentra en Evidencia\III trimestre\Estratégico\11600-1-1-1-4 y corresponde al archivo 11600-1-1-1-4.xlsx. </t>
    </r>
  </si>
  <si>
    <r>
      <rPr>
        <b/>
        <sz val="10"/>
        <rFont val="Verdana"/>
        <family val="2"/>
      </rPr>
      <t>20190930.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902 
# Requerimientos de aplicaciones misionales recibidos en términos de ANS igual a 1164 
Teniendo en cuenta que la meta anual se definió como 100% y por lo tanto la meta trimestral quedo en 25%, el comportamiento del indicador para este periodo de medición fue 19.37%.
El soporte de medición de la evidencia para la actual actividad se encuentra en Evidencia\III trimestre\Estratégico\11600-1-1-2-1. 
Ahora bien, teniendo en cuenta que esta actividad tiene asociados recursos financieros a continuación, se relaciona la ejecución de estos.
Se tiene definidos 4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$55.301.034.
Ahora bien, así como se informó en el seguimiento del trimestre anterior, cabe aclarar que conforme con el Plan Anual de Adquisiciones, se retiraron rubros por valor de $364.000.000 y $277.671.089, por lo tanto, la meta anual de la presente actividad debe ser $ 366.247.140 y una meta trimestral por valor de $91.561.785. 
Se solicita hacer el ajuste de los valores dentro del plan de acción.</t>
    </r>
  </si>
  <si>
    <r>
      <rPr>
        <b/>
        <sz val="10"/>
        <rFont val="Verdana"/>
        <family val="2"/>
      </rPr>
      <t>20190930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adjunta en la ruta se encuentran dentro de la ruta Evidencia\III trimestre\Transversal\ 11600-2-2-1 El archivo acta20190830_Inicio.pdf; así como, el cronograma de trabajo definido en común acuerdo entre las partes ver Evidencia\III trimestre\Transversal\ 11600-2-2-1.
Ahora bien, frente al pago, se indica que el proveedor ECOMIL tiene asignado contrato 154 de 2019 y cuyo valor total es por $196.161.810 M/CTE incluido IVA. Cuya fecha de inicio fue el 30/08/2019. Para el seguimiento actual se tiene por pagar un valor de $19.616.181. el cual corresponde al 10% del valor total del contrato, conforme al pliego de condiciones definido dentro de la etapa Precontractual. 
De igual manera, se confirma que se solicitó la liberación de recursos por un valor de $ 7.400.415,00, esto conforme al radicado número S11610040919021609I000003156700
La evidencia de los pagos realizados y de las cuentas de cobro se encuentran dentro de la ruta Evidencia\III trimestre\Transversal\ 11600-2-2-1.</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</si>
  <si>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</si>
  <si>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xml:space="preserve">. Para este trimestre, esta actividad no tenía alcance definido, frente al cumplimiento de la meta del indicador.
Sin embargo, se aclara que desde el pasado 16 de agosto se inicio la contratación de dos ingenieros, para lo cual se relaciona a continuación el avance frente a los pagos.
•	Carlos Guarín. Quien tiene el contrato 0147 de 2019 y cuyo valor total es por $62.475.000 y valor mensual de $12.495.000. Cuya fecha de ingreso fue el 16/08/2019. Para el seguimiento actual se ha pagado un total de $6.247.000. La evidencia de los pagos realizados y de las cuentas de cobro se encuentran dentro de la ruta Evidencia\III trimestre\Transversal\11600-2-5-1\ carlosGuarin.
•	Perla Rojas. Quien tiene el contrato 0147 de 2019 y cuyo valor total es por $52.500.000 y valor mensual de $10.500.000. Cuya fecha de ingreso fue el 27/08/2019. Para el seguimiento actual se ha pagado un total de $1.400.000. La evidencia de los pagos realizados y de las cuentas de cobro se encuentran dentro de la ruta Evidencia\III trimestre\Transversal\11600-2-5-1\ perlaRojas.
En el momento de generación del presente informe los ingenieros no habían radicado las cuentas correspondientes del mes de septiembre. </t>
    </r>
  </si>
  <si>
    <r>
      <rPr>
        <b/>
        <sz val="10"/>
        <rFont val="Verdana"/>
        <family val="2"/>
      </rPr>
      <t>20190930</t>
    </r>
    <r>
      <rPr>
        <sz val="10"/>
        <rFont val="Verdana"/>
        <family val="2"/>
      </rPr>
      <t xml:space="preserve">. Para este trimestre, conforme las directrices dadas por la OAPCR se debe realizar una reunión de autocontrol y seguimiento a los procesos que evidencien monitoreo a los riesgos, indicadores, planes de mejoramiento, manuales y documentos asociados. Para lo cual, el pasado 26 de septiembre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Productos\III trimestre\Transversal\11600-2-7-1. De igual manera, se relaciona copia del acta de dicha reunión. </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</si>
  <si>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</si>
  <si>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Conforme lo definido en el mes de julio (Ver: III trimestre\Transversal\11600-2-15-1\_PROCEDIMIENTOS_ - Cronograma definido.msg) se definió el cronograma de trabajo de los para la elaboración y aprobación de los procedimientos relacionados con Seguridad de la Información. Para lo cual, se precisó que para el tercer trimestre se tendrían elaborados 5 procedimientos. Los cuales eran:
1.	Procedimiento de mantenimiento de equipos
2.	Procedimiento de gestion de capacidad
3.	Procedimiento de gestión de usuarios y contraseñas (ingreso seguro a los sistemas de información)
4.	Procedimiento gestión de incidentes de seguridad
5.	Procedimiento Recuperación de desastres – DRP
Conforme a esta programación se indica que el pasado 19 de septiembre se remitieron a la OAPCR los procedimientos 3, 4 y 5 del anterior listado, los cuales ya se encontraban revisados de manera conjunta por los coordinadores y el director de la DGTIC y se encontraban listos para una vez ser validados por la OAPCR fueran aprobados. Así los procedimientos 1 y 2 fueron remitidos a la OAPCR para que se surta el mismo flujo de revisión y aprobación.</t>
    </r>
  </si>
  <si>
    <r>
      <rPr>
        <b/>
        <sz val="10"/>
        <rFont val="Verdana"/>
        <family val="2"/>
      </rPr>
      <t>20190930</t>
    </r>
    <r>
      <rPr>
        <sz val="10"/>
        <rFont val="Verdana"/>
        <family val="2"/>
      </rPr>
      <t>. Dentro del plan de capacitación y sensibilización se definió el modelo de sensibilización frente a Seguridad de la información que se llevará a cabo para 2019 Para lo cual, se definió realizar una sensibilización por trimestre en una duración estimada de 15 días. Para este trimestre, se realizó el material que se utilizó para tal fin, contando con el apoyo de Comunicación (dirección general) ver Evidencia\III trimestre\Transversal\11600-2-16.
Esta actividad no tiene relacionado recurso financiero.</t>
    </r>
  </si>
  <si>
    <t>Para este trimestre se cuenta con un cumplimiento del 42% con respecto al cronograma del SARLAFT  y del 87% en el acumulado del año.  Para la implementación del SARLAFT, se avanzó en la identificación de roles y responsabilidades, Polìticas, instrumentos, procedimientos, documentación y capacitación.</t>
  </si>
  <si>
    <t>Se apoyó en la elaboración del Plan de Continuidad del Negocio, el cual tiene como finalidad la definición de lineamientos para asegurar la continuidad del negocio en la ADRES. Junto a esto se presentaron documentos complementarios, los cuales son: 1) Plan de Recuperación de Desastres y 2) Plan de Continuidad del Negocio.
Las evidencias se encuentran en la carpeta 12000-1-2-1
1) Cronograma de actividades PCN
2) Plan de Continuidad del Negocio ADRES
3) Proyecto DRP
El acumulado total es el 100%, dado que se cumplio la ejecucuón de las 14 actividades programadas</t>
  </si>
  <si>
    <t>Actividad cumplida al 100% a la fecha.</t>
  </si>
  <si>
    <r>
      <t xml:space="preserve">Las políticas fueron presentadas y aprobadas en junta directiva del 15 de agosto y posteriormente fueron publicadas en la página Web de la ADRES en la ruta:  </t>
    </r>
    <r>
      <rPr>
        <sz val="10"/>
        <color theme="4"/>
        <rFont val="Verdana"/>
        <family val="2"/>
      </rPr>
      <t>Transparencia / 6. Planeación / Manuales Técnicos / Política de Administración de Riesgos.</t>
    </r>
    <r>
      <rPr>
        <sz val="10"/>
        <rFont val="Verdana"/>
        <family val="2"/>
      </rPr>
      <t xml:space="preserve">
Link de acceso directo: </t>
    </r>
    <r>
      <rPr>
        <u/>
        <sz val="10"/>
        <color theme="4"/>
        <rFont val="Verdana"/>
        <family val="2"/>
      </rPr>
      <t xml:space="preserve">https://www.adres.gov.co/Portals/0/ADRES/Planeación/ADRI-P01_Política%20de%20Administración%20de%20Riesgos.pdf?ver=2019-09-06-154115-530
</t>
    </r>
    <r>
      <rPr>
        <sz val="10"/>
        <rFont val="Verdana"/>
        <family val="2"/>
      </rPr>
      <t>El acta de la mencionada sesión de Junta Directiva, donde se evidencia la aprobación de las políticas se encuentra en la carpeta de la herramienta colaborativa correspondiente a este producto. Ruta:</t>
    </r>
    <r>
      <rPr>
        <sz val="10"/>
        <color theme="4"/>
        <rFont val="Verdana"/>
        <family val="2"/>
      </rPr>
      <t xml:space="preserve"> Oficina Asesora de Planeación / III Trimestre / 12000-1-5-1.</t>
    </r>
  </si>
  <si>
    <r>
      <t xml:space="preserve">La socialización de las políticas fue complementada en el III Trimestre con su publicación en el Boletín Sintonía ADRES del 24 de septiembre de 2019, enviado por correo electrónico a todos los colaboradores de la ADRES. Así mismo, a  30 de septiembre quedó aprobada la presentación de la Rendición de Cuentas Interna a efectuarse el 7 de octubre, en la cual se incluyó la  socialización de la política en el slide 103.  
Las evidencias se encuentran en la carpeta de la herramienta colaborativa correspondiente a este producto. Ruta: </t>
    </r>
    <r>
      <rPr>
        <sz val="10"/>
        <color theme="4"/>
        <rFont val="Verdana"/>
        <family val="2"/>
      </rPr>
      <t>Oficina Asesora de Planeación / III Trimestre / 12000-1-5-2</t>
    </r>
    <r>
      <rPr>
        <sz val="10"/>
        <rFont val="Verdana"/>
        <family val="2"/>
      </rPr>
      <t>.</t>
    </r>
  </si>
  <si>
    <r>
      <t xml:space="preserve">Para el tercer trimestre no se tiene programado entregable para esta actividad. 
En la sesión del Comité de Gestión y Desempeño efectuada el 10 de septiembre, se aprobó la ampliación del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
En la carpeta de la herramienta colaborativa correspondiente a este producto, se encuentra el acta de la sesión del comité que soporta la modificación descrita. Ruta: </t>
    </r>
    <r>
      <rPr>
        <sz val="10"/>
        <color theme="4"/>
        <rFont val="Verdana"/>
        <family val="2"/>
      </rPr>
      <t>Oficina Asesora de Planeación / III Trimestre / 12000-1-6-1</t>
    </r>
  </si>
  <si>
    <t>Para el tercer trimestre no se tiene programado entregable para esta actividad.</t>
  </si>
  <si>
    <r>
      <t xml:space="preserve">El 12 de septiembre la OAPCR realizó la reunión de autocontrol del trimestre objeto de reporte. La evidencia se encuentra en la carpeta de la herramienta colaborativa correspondiente a este producto. Ruta: </t>
    </r>
    <r>
      <rPr>
        <sz val="10"/>
        <color theme="4"/>
        <rFont val="Verdana"/>
        <family val="2"/>
      </rPr>
      <t>Oficina Asesora de Planeación / III Trimestre / 12000-1-6-2.</t>
    </r>
  </si>
  <si>
    <t>En el trimestre se requirió realizar 7 solicitudes a las áreas. Los soportes están en la carpeta de evidencias.</t>
  </si>
  <si>
    <t>Se reportó por parte de los responsables avance con corte a agosto de 2019 de los 16 autodiagnósticos establecidos de MIPG. A la carpeta de evidencias se sube el soporte.</t>
  </si>
  <si>
    <r>
      <t xml:space="preserve">Para el tercer trimestre no se tiene programado entregable para esta actividad. 
En el tercer trimestre se ejecutaron $18.666.667 del contrato de prestación de servicio No. 143 de 2019 por concepto del apoyo para la elaboración del Plan Estratégico de la ADRES del periodo 2019 - 2023. Las evidencias de la ejecución presupuestal se encuentran en el Informe de cumplimiento de avance de obligaciones contractuales y pago correspondiente a los meses de agosto y septiembre, los cuales están ubicados en la  en la carpeta de la herramienta colaborativa correspondiente a este producto. Ruta: </t>
    </r>
    <r>
      <rPr>
        <sz val="10"/>
        <color theme="4"/>
        <rFont val="Verdana"/>
        <family val="2"/>
      </rPr>
      <t>Oficina Asesora de Planeación / III Trimestre / 12000-1-3-1.</t>
    </r>
  </si>
  <si>
    <t xml:space="preserve">Durante el tercer trimestre del año 2019 (julio a septiembre), se recibieron por parte de la Firma Auditora dos (2) paquetes de recobros (0418_1_1 y 1118_1). Los dos (2) paquetes fueron validados e informados por la Dirección de Otras Prestaciones a la Unión Temporal.
La ADRES mediante oficio identificado en el SGD con el número S11510120819041734S000026554800 de fecha 12 de agosto de 2019, efectuó la devolución de los paquetes 0418_1_1 y 1118_1 informando a la firma auditora, Unión Temporal Auditores de Salud (Contrato 080), las inconsistencias y las causas de la devolución de cada paquete.
</t>
  </si>
  <si>
    <t>Fueron validados por la Dirección de Otras Prestaciones de la ADRES 34 paquetes de reclamaciones de los 37 requeridos para validación.</t>
  </si>
  <si>
    <t xml:space="preserve">En el tercer trimestre de 2019, la Dirección de Otras Prestaciones efectuó el seguimiento de los paquetes de recobros y reclamaciones. El seguimiento fue registrado en el formato de Excel adoptado por esta Dirección. _x000D_
_x000D_
Los citados formatos se diligencian con las fechas de remisión, las fechas de revisión por parte de la ADRES, fechas de conciliación, cantidades, valores y observaciones derivadas del seguimiento._x000D_
</t>
  </si>
  <si>
    <t xml:space="preserve">Se solicitaron y se resolvieron los siguientes apoyos técnicos: en julio de 2019, se tramitaron 133 solicitudes de apoyos técnicos, en agosto 111 y en septiembre 101, para un total de 345 solicitudes de apoyos técnicos resueltos por la Dirección de Otras Prestaciones en el tercer trimestre de 2019._x000D_
 _x000D_
Se informa que el valor asignado para el desarrollo de la actividad en el primer trimestre corresponde al valor pagado a los contratistas (del 01 de abril al 30 de junio de 2019)_x000D_
</t>
  </si>
  <si>
    <t xml:space="preserve">En el tercer trimestre del año en curso se efectuaron los pagos de los paquetes ART112030915EPS037_01, ART112041015EPS037_01, GT010117EPS016_04, GT020216EPS016_10, GT030316EPS016_10, GT040416EPS016_10, GT050516EPS016_08, GT071116EPS016_01, GT051017 y GT061117_x000D_
_x000D_
Los memorandos de las ordenaciones corresponden a los números identificados en el SGD con los radicados S11210280619035955I000002880800 para los paquete ART112030915EPS037_01 y ART112041015EPS037_01, S11510010819091253I000003030500 para los giros de los paquetes GT010117EPS016_04, GT020216EPS016_10, GT030316EPS016_10, GT040416EPS016_10, GT050516EPS016_08, GT071116EPS016_01 y S11510080819074244I000003055100 para los paquetes por Glosa Trasversal GT051017 y GT061117_x000D_
</t>
  </si>
  <si>
    <t xml:space="preserve">Se efectuaron las publicaciones de los giros de recobros de los meses de julio, agosto y septiembre de 2019 en la página web de la ADRES, en donde se informaron los pagos de los giros previos, los giros de los desistimientos y los giros de los paquetes por Glosa Trasversal. </t>
  </si>
  <si>
    <t>Se ordenaron (35) paquetes de reclamaciones durante los meses de julio, agosto y septiembre de 2019 correspondientes a los números 28936, 28993, 29286, 29297, 29578, 29766, 30026, 30362, 30730, 31073, 30723, 30637, 30636, 30689, 31119, 31039, 31154, 31299, 31329, 31468, 31469, 31467, 31466, 31376, 31375, 31373, 31817, 31979, 31928, 32508, 32530, 32623, 32506, 32527 y 32579.</t>
  </si>
  <si>
    <t>Se efectuaron las publicaciones de los (35) paquetes de reclamaciones girados en el tercer trimestre del año.</t>
  </si>
  <si>
    <t>Se efectuó una reunión de autocontrol en la Dirección de Otras Prestaciones en la cual se revisaron los temas asociados a los Planes de Mejoramiento, los Manuales Técnicos de la DOP, Riegos, Plan de Acción e Indicadores.</t>
  </si>
  <si>
    <t>En el tercer trimestre del año se continuó la labor de adelantamiento de la reingeniería del proceso de reclamaciones dentro del cual se contempla la actualización del formulario FURPEN. Esta actualización se efectuará durante en el transcurso del año 2019.</t>
  </si>
  <si>
    <t xml:space="preserve">Mediante los memorandos identificados en el SGD con los números S11510280819021501I000003131400, S11510280819023535I000003131700, S11510270919095130I000003266900 y S11510270919101820I000003267200 se efectuaron las Ordenaciones del Gasto para el Giro Previo de Recobros de los meses de julio, agosto y septiembre de 2019. 
Adicionalmente, con el memorando identificado en el SGD con los números S11510300719072024I000003018600 se efectuó la ordenación del gasto para el Giro Previo (Ajustado) de Recobros de los meses de agosto, septiembre, octubre, noviembre y diciembre de 2018.
Para el giro previo ajustado de agosto a diciembre de 2018, se efectuaron dos ordenaciones adicionales correspondientes a las EPS Medimás y Saludvida, las cuales se identifican con los SGD S11510010819044528I000003032900 y S11510010819051125I000003033200.
En total se efectuaron 8 ordenaciones del gasto por concepto de giro previo de recobros.
</t>
  </si>
  <si>
    <t>Durante el III trimestre de 2019, la DGRFS elabora el "Documento Interno de Política de Inversiones" de la URA, para la aprobación de dicha política se creará el Comité de Inversiones y Riesgos de ADRES, igualmente se presenta propuesta de la metodología de cupos de contrapartes de la DGRFS, que delimita el conjunto de entidades con que la DGRFS puede operar, la definición de límites para dichas entidades y algunas consideraciones en caso de sobrepasos a estos límites. Se anexa a la carpeta compartida por la OAPCR: Presentación de la metodología y "Documento Interno de Política de Inversiones".</t>
  </si>
  <si>
    <t xml:space="preserve">Durante el III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Como evidencia se anexa a la carpeta compartida por la OAPCR las ejecuciones presupuestales del III Trimestre de 2019, oficios remisorios de las EP al Ministerio de Hacienda y evidencia en word pantallazo publicación EP en la página de la ADRES._x000D_
</t>
  </si>
  <si>
    <t>Entre el trimestre de julio a septiembre de 2019, se registraron 126.402 partidas recaudadas, de las cuales se identificaron 126.375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julio a septiembre de 2019.</t>
  </si>
  <si>
    <t xml:space="preserve">En el III Trimestre de2019 se recibieron Ordenes de Pago por parte del Grupo de Gestión de Contable, por un valor de $11.229.843.031.492,90 de las cuales de efectúa un total de Giros de 60.847 (cantidad evidenciada en el aplicativo ERP) por valor de $11.163.227.307.326,60, Se anexa a la carpeta compartida por la OAPCR, la relación de de pagos efectuados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</si>
  <si>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 xml:space="preserve">En el III trimestre se generaron 63 Boletines Diarios: 22 en julio, 20 en agosto y 21 en septiembre de 2019; donde se registran los recursos por transacciones bancarias, se anexa a la carpeta compartida por la OAPCR, la relación de boletines diarios realizados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</si>
  <si>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III trimestre de 2019,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III Trimestre de 2019  y evidencia en word pantallazo publicación EF en la página de la ADRES._x000D_
_x000D_
Durante el III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</si>
  <si>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r>
      <rPr>
        <b/>
        <sz val="10"/>
        <rFont val="Verdana"/>
        <family val="2"/>
      </rPr>
      <t>20190930</t>
    </r>
    <r>
      <rPr>
        <sz val="10"/>
        <rFont val="Verdana"/>
        <family val="2"/>
      </rPr>
      <t>.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</si>
  <si>
    <r>
      <rPr>
        <b/>
        <sz val="10"/>
        <rFont val="Verdana"/>
        <family val="2"/>
      </rPr>
      <t>20190930</t>
    </r>
    <r>
      <rPr>
        <sz val="10"/>
        <rFont val="Verdana"/>
        <family val="2"/>
      </rPr>
      <t>. Para este trimestre, esta actividad no tenía alcance definido. Sin embargo, De manera colaborativa con la OAPCR se trabajó en la construcción de la Política Integral de Administración de Riesgos, en la cual se incluyen los riesgos de Corrupción, Operativos y de Seguridad de la información. La cual fue aprobada mediante el acta 03 del pasado 12 de junio de 2019 y fueron presentadas y aprobadas en junta directiva del 15 de agosto y posteriormente fueron publicadas en la página Web de la ADRES en la ruta:  Transparencia / 6. Planeación / Manuales Técnicos / Política de Administración de Riesgos.
Link de acceso directo: https://www.adres.gov.co/Portals/0/ADRES/Planeación/ADRI-P01_Política%20de%20Administración%20de%20Riesgos.pdf?ver=2019-09-06-154115-530
El acta de la mencionada sesión de Junta Directiva, donde se evidencia la aprobación de las políticas se encuentra en la carpeta de la herramienta colaborativa correspondiente a este producto. Ruta: Oficina Asesora de Planeación / III Trimestre / 12000-1-5-1.</t>
    </r>
  </si>
  <si>
    <t>Durante este trimestre no hubo avances respecto a esta actividad, ya que el proceso para el diseño, desarrollo, implementación y soporte técnico del nuevo portal web e intranet de la ADRES bajo la plataforma Microsoft SharePoint se declaró desierto luego de cumplir con el debido proceso en la plataforma SECOP</t>
  </si>
  <si>
    <t>En la carpeta se adjuntan evidencias del desarrollo de la actividad.</t>
  </si>
  <si>
    <t>En carpeta adjunta están los soportes de las actividades llevadas a cabo para el desarrollo de las piezas audiovisuales de la Rendición de Cuentas de la ADRES, así como su cubrimiento y trasmisión en línea.</t>
  </si>
  <si>
    <t>En carpeta se adjuntan las evidencias de la campaña de sensibilización sobre la importantancia de la rendición de cuentas. Además se desarrolló un formulario online para que los funcionarios y contratistas aportaran sus preguntas respecto a la gestión de ADRES. https://forms.office.com/Pages/ResponsePage.aspx?id=0EBigKM7AkGYTE9dbxs7xOyCRMq3eb5OmHt4WychfttUNko2VEFPVzlISk5VMzBTMTg4VU43WkJJVi4u</t>
  </si>
  <si>
    <t>En carpeta se adjuntan las evidencias de la campaña llevada a cabo para la Rendición de Cuentas de la ADRES. Además en el siguiente link se puede consultar la campaña a través de Twitter: https://twitter.com/search?q=%23RecursosQueSeConviertenEnSalud&amp;src=typed_query&amp;f=live</t>
  </si>
  <si>
    <t>En Carpeta se adjunta informe de Rendición de Cuentas y evidencia de su publicación en el sitio web de la entidad.</t>
  </si>
  <si>
    <t>En carpeta adjunta está el video de la transmisión y las fotos de la Audiencia Pública de Rendición de Cuentas de la ADRES</t>
  </si>
  <si>
    <t>Esta actividad no se desarrolló durante el tercer trimestre del año, ya que la audiencia quedó programada para el 07 de octubre de 2019.</t>
  </si>
  <si>
    <t>En carpeta adjunta se encuentran los soportes de las reuniones llevadas a cabo con líderes del sector salud y la Audiencia Pública de Rendición de Cuentas</t>
  </si>
  <si>
    <t>Durante este periodo no se desarrollaron actividades referentes. Estas serán presentadas en el IV trimestre.</t>
  </si>
  <si>
    <t>En carpeta adjunta se encuentran los soportes de los talleres de flujo de recursos llevados a cabo durante el tercer trimestre del año.</t>
  </si>
  <si>
    <t>Durante este trimestre no se llevaron a cabo actividades referentes a la estrategia de comunicación interna de la ADRES.</t>
  </si>
  <si>
    <t>En carpeta se adjunta documento con la estrategia de comunicación digital.</t>
  </si>
  <si>
    <t>Para el saneamiento de aportes patronales de régimen especial se generaron las notificaciones de deuda, de las actas de conciliación y se cargaron los anexos técnicos 3 y 4 en la plataforma PISIS de acuerdo con la Resolución 1545. En el saneamiento de aportes patronales de SGP continuó la conciliación de la cuentas SGP con las EPS logrando la conciliación de 12 de ellas.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</si>
  <si>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</si>
  <si>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efectuados ajustes  durante el trimestre, como la ejecución de procesos desde la intranet con ventana de monitoreo.
Fue creada la glosa GB114 (tipo de afiliado adicional no tiene días permitidos en la BDUA). También fue creada la glosa GB113 con el fin de que las cotizaciones recibidas por planillas tipo O y tipo U no sean compensados.
Fue ajustado el script de preliquidación para fallecidos y PR.
Con cargo a esta actividad se ejecuta el contrato de prestación de servicios No. 043_2019.</t>
  </si>
  <si>
    <t>Fueron ejecutados 12 procesos de compensación en los tiempos establecidos por norma.
Con cargo a esta actividad se ejecutan los contratos de prestación de servicios No. 040 y 042_2019.</t>
  </si>
  <si>
    <t>En el tercer trimestre fueron radicadas  852 solicitudes de prestaciones económicas de regímenes especiales o exceptuados, a 30 de septiembre 850 solicitudes se encontraban en términos de respuesta. 
Con cargo a esta actividad se ejecuta el contrato de prestación de servicios No.059_2019.</t>
  </si>
  <si>
    <t>En el tercer trimestre fueron radicadas  153 solicitudes de devolución de aportes de regímenes especiales o exceptuados, a 30 de septiembre 153 solicitudes se encontraban en términos de respuesta. 
Con cargo a esta actividad se ejecuta el contrato de prestación de servicios No. 060_2019.</t>
  </si>
  <si>
    <t>En el tercer trimestre se efectuaron tres (3) procesos de Liquidación Mensual de Afiliados, uno por mes, en los tiempos establecidos en la normativa vigente, se  generó la certificación y la bitácora de cada proceso como se evidencia en las evidencias de esta actividad.</t>
  </si>
  <si>
    <t>Fueron efectuados tres procesos de prestaciones económicas en los tiempos establecidos.</t>
  </si>
  <si>
    <t>Se ejecutó la auditoría ARS_BDEX003 en la cual se identificaron hallazgos para 46 EPS del régimen subsidiado y la auditoría ARCON_BDEX003 que generó hallazgos para 47 EPS del régimen contributivo.
A cada EPS se remitió una solicitud de aclaración según la normativa vigente. Ver anexo "11400-1-1-9.xlsx".</t>
  </si>
  <si>
    <t>Durante el periodo se elaboraron los siguientes documentos:  
1) Divergencia en los valores unitarios facturados de los medicamentos recobrados durante el año 2017 y 
2) Servicios y tecnologías no incluidas en el Plan de Beneficios en Salud con cargo a la UPC: Quiénes son sus beneficiarios?</t>
  </si>
  <si>
    <t xml:space="preserve">De acuerdo con la reunión sostenida con la Oficina Asesora de Planeación  se acordó que el indicador quedará  así:  Para el III trimestre la organización, digitalización y transferencia del archivo documental de gestión correspondiente a la serie tutelas de los meses de abril, mayo, junio y julio de 2018. El valor ejecutado corresponde al valor promedio mensual del contrato Interadministrativo N.088-2019 suscrito con Servicios Postales Nacionales 4-72 en el componente de archivo, se suben a la carpeta de evidencias los informes mensuales de  julio y agosto, septiembre esta pendiente finalizar tramite por un componente de envíos.. </t>
  </si>
  <si>
    <t>Se elaboran, validan  y firman las Tablas de Retención Documental V2, lasa cuales se adjuntan como evidencia.</t>
  </si>
  <si>
    <t xml:space="preserve">Se entrega resultado de las actividades encaminadas a determinar el valor aproximado de la valoración documental del archivo recibido de los anteriores administradores fiduciarios, documento denominado "INFORME FINAL ESTUDIO ECONÓMICO VALORECIÓN DOCUMENTAL.
Adicionalmente, se aoprtan las evidencias del proceso realizado (Reuniones, propuestas, invitaciones a participar, constancias de entrega).
</t>
  </si>
  <si>
    <t>N/A Reporte para el Trimestre.</t>
  </si>
  <si>
    <t>Se elabora proyecto del Plan Operativo de Gestión documetal dede el 2 de agosto de 2019, posteriormente se recibe retroalimentación del documento en septiembre 2, se realizan las modificaciones sugeridas y se remite el documento para aprobación de la Dirección DAF, se  anexa el documento.
A partir del 12 de agosto se adoptaron y estsan siendo utilizados los formatos para a disposición final de residuos solidos y peligrosos (se anexo formato).</t>
  </si>
  <si>
    <t>Se realiza actualización de la matriz de requisitos legales, la cual evidencia el documento en formato Excel y soporte de envío mediante correo electrónico al supervisor del contrato. Para el siguiente trimestre se continuará con la formalización ante la Oficina Asesora de Planeación y Control de Riesgos.
Producto evidenciado e informado mediante el documento: "Informe septiembre Contrato 70 de 2019".</t>
  </si>
  <si>
    <t>Desde el mes de febrero de 2019 se ha levantado la documentación necesaria que constituye el SG-SST en cumplimiento con la normatividad, de la cual, en el mes de junio fue enviada a la OAPCR toda esta información por parte del GIGTH (Ver correo electrónico). Posteriormente se inició el proceso de revisión, análisis y definición de estructura conforme a los lineamientos de la entidad; seguidamente la elaboración de ajustes solicitados sobre la metodología en cuanto a los formatos definidos por la OAPCR y ajustes conforme actualizaciones y requerimientos de la Resolución 0312 de 2019, de los cuales en el tercer trimestre se realizaron en conjunto con el supervisor del contrato 69 - 70 (ver informes, se relacionan actividades en las cuentas de cobro del los meses de Febrero, abril, mayo, junio, julio, septiembre); insumos que se encuentran en revisión por parte del Coordinador del Grupo Interno de Gestión del Talento Humano, (ver correo electrónico). De esta manera se contempla para el próximo trimestre, finalizar con el proceso de formalización de dicha documentación ante la OAPCR.
El 25 de octubre de 2019 se aclara el reporte de valores ejecutados para el plan de SG-SST</t>
  </si>
  <si>
    <t>Este producto fue elaborado, informado y cobrado (ver Informe septiembre Contrato 70 de 2019, se relaciona en cuenta de cobro del mes de abril y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</si>
  <si>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
Adicionalmente se relizó lo siguiente: Se verifica el programa de orden y aseo y se realizan inspecciones en piso 17 - 18 y archivo central, del cual se genera informe de orden y aseo. Se desarrolla SKETCH ORDEN Y ASEO, con el fin de socializar el programa de orden y aseo bajo metodología de las 5S. Se mantiene evidencia bajo registro fotográfico de las inspecciones.</t>
  </si>
  <si>
    <t>Este producto fue elaborado, informado y cobrado (ver Informe septiembre Contrato 70 de 2019). Las evidencias que soportan este producto fueron remitidas por la ARL POSITIVA durante el tercer trimestre de los corrientes.</t>
  </si>
  <si>
    <t>Este producto fue elaborado, informado y cobrado (ver Informe septiembre Contrato 70 de 2019, se relaciona en cuenta de cobro del mes de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</si>
  <si>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No hay meta establecida para este trimestre.
En la solicitud de cambios del plan de acción realizado en el mes de mayo y junio de 2019, para este indicador se solicitó la meta de un (1) producto anual y se dejara en trimestre 3 de cumplimiento. De la cual esta línea, producto 11700-1-16-1, está repetida en la celda 188</t>
  </si>
  <si>
    <t xml:space="preserve">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 </t>
  </si>
  <si>
    <t>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t>
  </si>
  <si>
    <t xml:space="preserve">En el tercer trimestre de 2019, se presentaron tres (3) eventos de accidentes de trabajo, los cuales fueron investigados. (Ver informes, certificado, correos electrónicos). De lo anterior, soportado por los contratista de prestación de servicios mediante los informes de cumplimiento de obligaciones contractuales (Ver Informe septiembre Contrato 69 de 2019 e Informe septiembre Contrato 70 de 2019).
Este producto permitió evidenciar la forma adecuada de atender, gestionar y registrar un incidente laboral. </t>
  </si>
  <si>
    <t>Se realiza reunion con el COPASST, realizando seguimiento a inspecciones realizadas, relacionando compromisos para la siguiente reunion. Se realizó divulgación del programa de inspecciones y metodología para el desarrollo del mismo, así mismo se socializaron formatos y documento programa de inspecciones. (Ver listado de asistencia y material presentado; ver Informe septiembre Contrato 69 de 2019)</t>
  </si>
  <si>
    <t xml:space="preserve">Ver control de cambios del plan de acción 2019: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</si>
  <si>
    <t>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t>
  </si>
  <si>
    <t xml:space="preserve">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  </t>
  </si>
  <si>
    <t>El producto "Capacitación de Sistema de Seguridad Social realizada" continua con atraso, teniendo en cuenta que su consecución es de forma gratuita y el GIGTH dependende de la respuesta a las gestiones que se han adelantado así: Se enviaron correos electrónicos los días 13 de febrero, 28 de mayo y 20 de junio de 2019 al Director de Liquidaciones y Garantías solicitando información sobre contactos a los que se les pueda solicitar capacitación gratuita por austeridad del gasto. El 24 de julio, 27 de agosto y el 4 de septiembre se enviaron correos a la ESAP, solicitando capacitación para este tema, previa reunión de trabajo con el Departamento de Capacitación. A la fecha no se ha recibido respuesta a los requerimientos.
De acuerdo con lo anterior, se continúa postergando su ejecución (ver correos electrónicos y documento Excel con el seguimiento al cronograma de capacitaciones)</t>
  </si>
  <si>
    <t xml:space="preserve">En el tercer trimestre de 2019 se realizó de forma gratuita, la capacitación de Administración de personal sector publico y legislación laboral evidenciado mediante listados de asistencia, la cual fue desarrollada en las instalaciones de la ADRES a cargo de una funcionaria del Departamento de la  Función Pública (ver trazabilidad en el documento Excel con el seguimiento al cronograma de capacitaciones) </t>
  </si>
  <si>
    <t xml:space="preserve">En el tercer trimestre de 2019 se realizó de forma gratuita, la capacitación de Contratación Estatal evidenciado mediante correos electrónicos, la cual fue desarrollada en las instalaciones de la ESAP (ver trazabilidad en el documento Excel con el seguimiento al cronograma de capacitaciones) </t>
  </si>
  <si>
    <t>En el tercer trimestre de 2019 se realizaron tres (3) capacitaciones: i. Big Data, ii. Trabajo en Equipo y Comunicación Asertiva, iii. Código de Integridad (Ética) evidenciadas mediante listados de asistencia e informes de cumplimiento de obligaciones contractuales por parte del Operador Externo.</t>
  </si>
  <si>
    <t xml:space="preserve">En el tercer trimestre de 2019 se realizó la capacitación de Sostenibilidad Ambiental evidenciado mediante listados de asistencia, la cual fue desarrollada en las instalaciones de la ADRES a cargo de una contratista del Grupo Interno de la Gestión del Talento Humano, porfesional de Seguridad y Salud en el Trabajo (ver trazabilidad en el documento Excel con el seguimiento al cronograma de capacitaciones e Informe septiembre Contrato 70 de 2019) </t>
  </si>
  <si>
    <t>El producto "Capacitación de Buen Gobierno realizada" continua con atraso, teniendo en cuenta que su consecución es de forma gratuita y el GIGTH dependende de la respuesta a las gestiones que se han adelantado así: Se ha hecho seguimiento de programaciones en la página de la ESAP y no se refleja programación a través del vínculo  http://sirecec3.esap.edu.co/Cliente/CursosEsap?tipo=CA Se envió correo los días 19 de junio de 2019 y 11 y  27 de julio a Función Pública, sin que se haya obtenido respuesta a la fecha. 
De acuerdo con lo anterior, se continúa postergando su ejecución (ver correos electrónicos y documento Excel con el seguimiento al cronograma de capacitaciones)</t>
  </si>
  <si>
    <t>El producto "Capacitación de Gestión Documental realizada" continua con atraso, teniendo en cuenta que su consecución es de forma gratuita y el GIGTH dependende de la respuesta a las gestiones que se han adelantado así: Se enviaron solitudes a la ESAP mediante correos electrónicos de fechas 11 de abril, 19 de junio .6 y 27 de agosto de 2019. Ante la falta de respuesta, se envió solicitud al Archivo General de la Nación el 2 de septiembre de 2019. A la fecha no se ha recibido respuesta a la solicitud.
De acuerdo con lo anterior, se continúa postergando su ejecución (ver correos electrónicos y documento Excel con el seguimiento al cronograma de capacitaciones)</t>
  </si>
  <si>
    <t>En el tercer trimestre de 2019 se realizó de forma gratuita, la capacitación de Bilingüismo evidenciado mediante correos electrónicos, la cual fue desarrollada en las instalaciones de la ADRES a cargo de una funcionaria del Departamento de la  Función Pública y un funcionario del SENA, generado de un programa o convenido liderado por la DAFP (ver trazabilidad en el documento Excel con el seguimiento al cronograma de capacitaciones).
Este producto estaba programado para el último trimestre de del año, del cual se adelantó su ejecución a fin de ajustarse a la programación de la DAFP y con el propósito de generar resultados en la presente vigencia.</t>
  </si>
  <si>
    <t>El producto "Capacitación de Desarrollo Territorial y Nacional realizada" continua con atraso, teniendo en cuenta que su consecución es de forma gratuita y el GIGTH dependende de la respuesta a las gestiones que se han adelantado así: Se ha realizado solicitud a la DAPF, ante la falta de respuesta, se solicitó al Director Administrativo y Financiero, su eliminación debido a que la misma no aparece en los portafolios de servicios de la ESAP y el DAFP.   
De acuerdo con lo anterior, se continúa postergando su ejecución (ver correos electrónicos y documento Excel con el seguimiento al cronograma de capacitaciones)</t>
  </si>
  <si>
    <t>En el tercer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</si>
  <si>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 xml:space="preserve">La Reinducción necesita insumos por parte de todas la dependencias, por lo cual se ha realizado un proceso de actualización de información generada por varios actores del sistema en la ADRES; finalizará su recepción de información, consolidación y revisión a que haya lugar por parte del GIGTH y la Dirección Administrativa y Financiera en el último trimestre de la vigencia y posterior desarrollo a los servidores públicos de la Entidad. (ver correos electrónicos y documento Excel con el seguimiento al cronograma de capacitaciones) </t>
  </si>
  <si>
    <t>En atención a lo reportado del indicador de procesos "Cumplimiento del Plan Anual de Bienestar e Incentivos": En el tercer trimestre de la vigencia 2019, se evidenció un resultado del 42,9%, desarrollando tres (3) actividades (Ver registros fotográficos y correos electrónicos): 
1. Olimpiadas deportivas: Fútbol 5, Tenis de mesa, Bolos.
2. Día de la familia.
3. Pausas activas.
De las cuales se habían programado siete (7) actividades en el periodo, (Ver Seguimiento cronograma Bienestar e Incentivos 30 de septiembre de 2019) 1. Olimpiadas deportivas, 2. Cine, 3. Taller de Cocina, 4. Día de la Familia, 5. Pausas Activas, 6. Gimnasio, 7. Medición de clima laboral.
Cabe resaltar que en el reporte del trimestre anterior, se evidenció que la actividad Plan Prepensionados, se reprogramó para el último trimestre del año, por lo cual para el presente periodo no figura como "programada".
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
Las actividades de: Cine, Taller de Cocina y Gimnasio están contratadas con operador externo mediante contrato No. 121 de 2019, de los cuales, los supervisores realizaron seguimientos para garantizar su ejecución en el tercer trimestre, (a excepción de Taller de Cocina que se reprogramó) sin embargo, al no obtener resultados, se considera suscribir plan de mejoramiento en el mes de octubre de 2019 contemplando lo evidenciado en los periodos anteriores. (Ver acta de seguimiento, plan de mejoramiento y registro de materialización de riesgos). 
De lo anterior, por tal razón tampoco es posible evidenciar informes de supervisión a fin de soportar el valor asignado para el desarrollo de las mencionadas actividades.</t>
  </si>
  <si>
    <t>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t>
  </si>
  <si>
    <t xml:space="preserve">En la página web de la ADRES en el link de transparencia se evidencia el Manual de  Funciones actualizado (ver imagen y copia digital del acto administrativo), del cual fue comunicado a todos los servidores públicos mediante correo electrónico. Sin embargo, una vez socializada la actualización del manual, algunas dependencias de la ADRES generaron nuevas solicitudes a fin de ajustar fichas del mismo, por lo cual: El GIGTH está en proceso de actualización del Manual de Funciones acuerdo con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(ver correos electrónicos) </t>
  </si>
  <si>
    <t xml:space="preserve">El GIGTH está en proceso de actualización del Manual de Funciones acuerdo a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t>
  </si>
  <si>
    <t>Se incluyen los informes de supervisión de JULIO, AGOSTO Y SEPTIEMBRE. Para este trimestre se suman los pagos realizados de los meses de Julio, agosto y septiembre por un valor de $133.987.440 los cuales contienen el incremento salarial del 2019 aprobados por el gobierno nacional. Se adjuntan los informes de supervisión. Se realizaron 20.331 atenciones por el call center con un nivel de abandono del 6,78% y un 93,22% orientaciones gestionadas acorde con los niveles de sercio acordados en el Acuerdo Marco.</t>
  </si>
  <si>
    <t>Para este período se realizaron 6 boletines de información de interés para los servidores públicos: trámite interno de las PQRSD, uso correcto de la herramienta del CRM  al dar respuesta por correo electrónico y se realizó capacitación a los funcionarios encargados del trámite de las PQRSD en la entidad sobre la R/668 y Control disciplinario, Información en el Boletín No. 4 10 de septiembre.</t>
  </si>
  <si>
    <t>Durante este período se realizaron dos reunión de planeación del CENTRO ESPECIALIZADO DE ATENCIÓN AL CIUDADANO del MinSalud y se participó en la mesa de trabajo de implementación de nuevo proyecto del Minsalud sobre  el Modelo de Servicio al Ciudadano sector salud y diligenciamiento de la ficha de caracterización del servicio de la ADRES, en el marco del proceso de co-creación del Modelo Integral de los Sistemas de Servicio al Ciudadano del Sector Salud. Viernes 9 de agosto. De igual manera se participó en la mesa de trabajo realizada en el Minsalud cuyo propósito fue revisar las inquietudes de los diferentes actores y de remover los obstáculos que puedan presentarse. Miércoles 25 de septiembre a las 8:30 a.m. en la Sala de Juntas de la Secretaría General. De igual manera se trataron aspectos relativos a la optimización de la App Clic Salud y a la integración de todas las entidades del sector, y al modelo de servicio al ciudadano.</t>
  </si>
  <si>
    <t>Para este período se realizaron las plantillas de respuesta de primer nivel de atención y se recibieron por parte de las direcciones las respuestas tipo de primer nivel que se darán a las peticiones  autorizadas por las áreas de la entidad para ser respondidas desde atención al ciudadano. Se adjunta archivo que contienen las plantillas de respuesta tipo de la entidad. De igual manera se diseñaron y mejoraron las plantillas de respuesta de radicación de reclamaciones personas naturales y las devoluciones de las mismas por no cumplir con los requisitos del formulario FURPEN. Lo anterior para atender contingencia de las radicaciones de las reclamaciones personas naturales asumida por la DAF Atención al Ciudadano.</t>
  </si>
  <si>
    <t>Elaboración informe trimestral de encuestas, el cual es socializado con la OAPCR con el fin de contar con herramientas para toma de decisiones y planeación de mejoramiento de los procesos de la entidad.</t>
  </si>
  <si>
    <t>Toda vez que por auteridad en el gasto, ajustes razonables y que la sede de la entidad no es propia, se realizaron algunas mejoras para el acceso a las personas en condición de discapacidad , como es la señalización del punto de atención prioritaria. De igual manera,  y con el fin de mejorar el acceso a la entidad de los usuarios que acuden a la entidad a notificarse de algun proceso que adelanta la ADRES,  la Oficina asesora Jurídica fue trasladada a una nueva sede, la cual cuenta con un sitio específico para la notificación de los ciudadanos y cumple con los requerimientos mínimos de acceso para personas en condición de discapacidad (Ascensores con sonido, nivel de altura de los botones pisos, señalización, etc.) De igual manera se generaron los habladores para los puestos de trabajo de las asesoras del punto de atención presencial, sobre la Protección de Datos personales. De otra parte, se mejoró la iluminación en la recepción de la ADRES y se señalizó la puerta de acceso con la cinta de identificación de la ADRES.</t>
  </si>
  <si>
    <t xml:space="preserve">Se elaboró informe y fue remitido a la OCI </t>
  </si>
  <si>
    <t xml:space="preserve">Se elaboró informe III trimestre de 2019  y fue remitido a la OCI </t>
  </si>
  <si>
    <t>En el periodo a reportar no se formalizó ninguna Licitación Pública, por lo que no fue necesaria la convocatoria a Veedurías.</t>
  </si>
  <si>
    <t>En el tercer trimestre se realizó reunión de autocontrol para los procedimientos de Gestión del Talento Humano con la participación del líder de proceso y los integrantes del mismo, evidenciado mediante listado de asistencia.</t>
  </si>
  <si>
    <t xml:space="preserve">Se evidencia un producto relacionado en el mes de agosto frente a ofertar vacantes a los servidores con derecho s de carrera admnistrativa.
Por otro lado, desde el GIGTH no se enviaron solicitudes de provisión de empleos a las dependencias, toda vez que cada dependencia por anticipado remitieron las solicitudes de provisión. También se dio cumplimiento al artículo 24 de la Ley 909 de 2004, modificado por el artículo 1º de la Ley 1960 de 2019, relativo al derecho preferencial de encargo para servidores de carrera administrativa. (ver correos electrónicos y soportes del proceso) </t>
  </si>
  <si>
    <t>Se realizaron 15 nombramientos (Ver Resoluciones), detallados de la siguiente manera:
Se realizaron en el mes de julio 4 nombramientos ordinarios, 1 nombramiento provisional, en el mes de agosto se realizó 1 nombramiento ordinario, 1 encargo en empleo de carrera administrativa, 1 nombramiento provisional,1 encargo en empleo de libre nombramiento, en el mes de septiembre se realizó 1 nombramiento provisional, 1 nombramiento ordinario, 1 nombramiento provisional, 3 encargos en carrera administrativa.
De lo anterior se evidencia una adecuada ejecución del Manual Operativo de Gestión del Talento Humano.</t>
  </si>
  <si>
    <t>Se realizaron 15 posesiones (Ver Actas), detallados de la siguiente manera:
En el mes de julio se realizaron 4 posesiones en empleos de libre nombramientos, 1 posesión en provisionalidad, en el mes de agosto se realizó 1 posesión en empleo de libre nombramiento, 1 posesión en encargo en empleo de carrera administrativa, 1 posesión en nombramiento provisional,1 posesión en encargo en empleo de libre nombramiento, en el mes de septiembre se realizó 1 posesión en nombramiento provisional, 1 posesión en  nombramiento ordinario, 1 posesión en nombramiento provisional, 3 posesiones en encargos en empleos de carrera administrativa.
De lo anterior se evidencia una adecuada ejecución del Manual Operativo de Gestión del Talento Humano.</t>
  </si>
  <si>
    <t>Esta linea se solicito modificar, teniendo en cuenta lo concertado frente al tema presupuestal.</t>
  </si>
  <si>
    <t>Se toman como referencias las versiones inicial y final del PAA para el periodo a reportar, esto es 03/07/19 y 30/09/19 respectivamente. Al finalizar el trimestre se tienen 170 lineas de las cuales se han usado 141 líneas con contrato suscrito y 1 línea con proceso desierto, como soporte de esto se carga copia de los PAA mencionados descargados de la página de Colombia Compra Eficiente. 
En el periodo se se suscribieron 38 contratos que se relacionan en el archivo cargado en las evidencias.
Adicionalmente se carga en las evidencias el correo electrónico enviado desde la Dirección Administrativa y Financiera como seguimiento al cumplimiento de ejecución del PAA por parte de las diferentes áreas de la entidad, tambien se cargan las 28 solicitudes de inclusión, modificación y/o eliminación de líneas del PAA, presentadas por las áreas rsponsables.</t>
  </si>
  <si>
    <t>Línea repetida en la celda 65 de esta versión de plan de acción 2019.
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incluir este documento en el proceso de su formalización ante la OAPCR.</t>
  </si>
  <si>
    <t>No se estableció meta para este trimestre</t>
  </si>
  <si>
    <t>CON CORTE 27 DE JUNIO DE 2019 SE TERMINÓ ANTICIPADAMENTE EL CONTRATO 072 DE 2019, Y COMOQUIERA QUE DURANTE EL TRIMESTRE JULIO A SEPTIEMBRE LOS PROCESOS OBJETO DEL CONTRATO NO REPORTARON MOVIMIENTOS QUE GENERARAN EROGACIÓN PARA LA ADRES A TRAVES DE OTRO APODERADO, SE HA SATISFECHO LA REPRESENTACION EN LA MEDIDA EN QUE SE HA REQUERIDO. 
SE ADJUNTA SOPORTE DE TERMINACIÓN- CUENTA FINAL</t>
  </si>
  <si>
    <t>Se tramitaron 11 solicitudes de consulta, como se evidencia en el soporte anexo. Así mismo se hicieron 3 pagos equivalentes a 5.136.839 cada una</t>
  </si>
  <si>
    <t xml:space="preserve">SE REPORTA CUMPLIMIENTO EN LA MEDIDA EN QUE DURANTE EL TRIMESTRE AUNQUE SE ENTREGÓ UN PROCESO PARA SUSTENTAR RECURSO DE CASACIÓN, NO SE HA CORRIDO TRASLADO DEL TERMINO PARA SUSTENTARLO.  POR LO EXPUESTO, EL CONTRATO DEL DR. JOSE RICARDO HERRERA NO REPORTA CUENTAS DE COBRO HASTA LA FECHA. 
EN ESE ORDEN DE IDEAS SE ACLARA QUE NO SE CUENTA CON EVIDENCIA DE PRODUCTO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</si>
  <si>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t>
  </si>
  <si>
    <t xml:space="preserve">DURANTE EL TRIMESTRE SE REQUIRIÓ LA LIQUIDACIÓN DE 5 EXPEDIENTES, DE LOS CUALES 2 CORRESPONDEN A LIQUIDACIONES DE HONORARIOS DE PERITOS. 
COMO SOPORTES SE CARGA LA LIQUIDACIÓN REALIZADA EN CADA PROCESO, Y LAS CUENTAS DE COBRO ASÍ COMO CONSOLIDADO DE LA RELACIÓN DE PAGOS EFECTUADA EN EL TRIMESTRE. </t>
  </si>
  <si>
    <t xml:space="preserve">SE PROCEDE A CARGAR LA EVIDENCIA DE PROCESOS CREADOS EN EKOGUI Y EL CRUCE DE LA BASE DE AQUELLOS QUE FUERON REPARTIDOS DURANTE EL TRIMESTRE. 
AQUELLOS PROCESOS RESALTADOS EN COLOR GRIS NO SON SUCEPTIBLES DE CREAR HASTA QUE SE DEFINA EL CONFLICTO DE COMPETENCIA. </t>
  </si>
  <si>
    <t>SE REMTIÓ LA PROVISION CONTABLE A LA DIRECCION COMPETENTE</t>
  </si>
  <si>
    <t xml:space="preserve">DURANTE EL TRIMESTRE EL APODERADO PENALISTA ACUDIÓ A LAS AUDIENICAS EN LAS QUE SE REQUIRIÓ REPRESENTACIÓN JUDICIAL DE LA ENTIDAD EN SU CALIDAD DE VICTIMA Y ADIONALMENTE SE HIZO PARTE EN LAS MULTIPLES AUDIENCIAS QUE CURSAN ANTE LA FISCALÍA. </t>
  </si>
  <si>
    <t>DURANTE EL TRIMESTRE SE SOLICITARON 3 INFORMES, LOS CUALES FUERON SUMINISTRADOS EN OPORTUNIDAD</t>
  </si>
  <si>
    <t>SE ADJUNTA SOPORTE CONTENTIVO DE LA RELACION DE CONTESTACIONES EFECTUADAS EN EL TRIMESTRE, LAS CUENTAS DE COBRO RADICADAS Y LOS SOPORTES QUE DAN FE DEL CUMPLIMIENTO DE ESTA OBLIGACIÓN. SE ACLARA QUE SE RELACIONAN LAS DEMANDAS ASIGNADAS Y EN TERMINOS DE CONTESTACION EN EL TRIMESTRE</t>
  </si>
  <si>
    <t xml:space="preserve">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</si>
  <si>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SE PROCEDE AL CARGUE DE UNA RELACION DE LAS FICHAS SOMETIDAS A COMITÉ DE CONCILIACION DE LA ADRES EN EL TRIMESTRE OBJETO DE REVISION Y QUE ALUDEN A ASUNTOS PRE JUDICIALES
LOS SOPORTES FINANCIEROS SE ENCUENTRAN CARGADOS EN LA ACTIVIDAD 11900-12-1 DONDE IGUALMENTE SE ENCUENTRAN LAS CUENTAS RADICADAS POR LOS APODERADOS JUDICIALES</t>
  </si>
  <si>
    <t xml:space="preserve">SE PROCEDE AL CARGUE DE UNA RELACION DE LAS FICHAS SOMETIDAS A COMITÉ DE CONCILIACION DE LA ADRES EN EL TRIMESTRE OBJETO DE REVISION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</si>
  <si>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t>
  </si>
  <si>
    <t>DURANTE EL TRIMESTRE SE GARANTIZÓ EL ADECUADO REPARTO DE LOS DOCUMENTOS DISPUESTOS PARA TAL FIN. SE ALLEGA COMO SOPORTE RELACION DE LA GESTIÓN Y CUENTAS DEL CONTRATISTA</t>
  </si>
  <si>
    <t>Como soporte se encuentra la tabla estadística del Grupo, derivada de la información que arroja el SGD</t>
  </si>
  <si>
    <t>Los soportes de las reuniones realizadas se encuentran también en el calendario de Outlook del Jefe de la OAJ, así como de cada Coordinador y Líder de proceso</t>
  </si>
  <si>
    <r>
      <rPr>
        <b/>
        <sz val="10"/>
        <rFont val="Verdana"/>
        <family val="2"/>
      </rPr>
      <t xml:space="preserve">20190930.
</t>
    </r>
    <r>
      <rPr>
        <sz val="10"/>
        <rFont val="Verdana"/>
        <family val="2"/>
      </rPr>
      <t xml:space="preserve">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1323 
# Registros correctos igual a 0 
# Número total de registros notificados en auditorias correctivas igual a 1323
Auditoria de 2199 producto dentro del plan de acción: 11600-1-1-1-3
# de registro depurados por ADRES igual a 5.949
# Registros correctos igual a 11.231 
# Número total de registros notificados en auditorias correctivas igual a 17.180
Teniendo en cuenta que la meta anual se definió como 100% y por lo tanto la meta trimestral quedo en 25%, el comportamiento del indicador para este periodo de medición fue 25%.
El soporte de medición de la evidencia para la actual actividad se encuentra en Evidencia\III trimestre\Estratégico\11600-1-1-1-2. </t>
    </r>
  </si>
  <si>
    <t>Se retira la actividad 11200-1-1 toda vez que en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Además el área de tecnología no ha definido la nueva plataforma en la que se realizaría el portal web de la ADRES.
Los recursos asignados inicialmente fueron ya liberados</t>
  </si>
  <si>
    <t>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t>
  </si>
  <si>
    <t xml:space="preserve">Se incluyó mayor detalle acerca de los procesos objeto de optimización de la actividad 11400-1-1-2, y se excluyó lo concerniente a la conciliación bancaria de cotizaciones toda vez que con ésta se habían mencionado 5 procesos, y desde la formulación del Plan de Acción la meta ha sido de 4 procesos a optimizar. </t>
  </si>
  <si>
    <t xml:space="preserve">Alvaro Rojas
Director de Liquidaciones y Garantías </t>
  </si>
  <si>
    <t>Realizar análisis sobre procesos o tecnologías reconocidas por la ADRES (Prescripción, suministro y uso de medicamentos NO PBS; atenciones en salud derivados de accidentes de tránsito; modelo de operación de recobros y reclamaciones y ponderador de la UPC)</t>
  </si>
  <si>
    <t>Se ajustó la descripción de la actividad 11400-2-1-1</t>
  </si>
  <si>
    <t>Se eliminó la actividad 11600-2-4 en razón a que en el transcurso del segundo semestre se estableció con la Dirección Administrativa y Financiera realizar el cambio del sistema de correspondencia por el sistema ORFEO el cual tienen todas las funcionalidades para mejorar todo lo relacionado con la correspondencia y gestión documental en ADRES. Por lo tanto, ADRES inició un proceso de contratación para la implementación del sistema ORFEO el cual se adjudicará en enero de 2020 y su ejecución será durante el primer semestre del mismo año. En consecuencia, se solicita la suspensión de esta línea de acción para ser incluida y programada para el 2020.</t>
  </si>
  <si>
    <t>Definir y aprobar procedimiento para la gestión y publicación de datos abiertos.</t>
  </si>
  <si>
    <t>Procedimiento para la gestión y publicación de datos abiertos definido y aprobado</t>
  </si>
  <si>
    <t># Procedimientos definidos y aprobados por la DGTIC</t>
  </si>
  <si>
    <t>Se modificó la actividad 11600-2-11, su producto e indicador teniendo en cuenta que para lograr la definición y publicación de un conjunto de datos abiertos, la DGTIC realizó el esfuerzo para establecer y documentar un  procedimiento que le permitiera operativizar estas acciones, más cuando lo que se pretende es realizar varias publicaciones.  Por lo anterior, se solicita redefinir el alcance de la actividad, asociada a la definición,  documentación y aprobación de un procedimiento que permita definir y publicar conjuntos de datos abiertos.</t>
  </si>
  <si>
    <t>Se eliminó la actividad 11400-3-1 en virtud de que, a la fecha se está trabajando en la definición del sistema que soporte el proceso de compra de cartera, actividad que es fundamental para poder racionalizar dicho trámite, y de esta forma trabajar en el cambio normativo de la Resolución 4373 de 2017 expedida por el Ministerio de Saludy Protección Social.</t>
  </si>
  <si>
    <t>Claudia Pulido
Subdirectora de Liquidaciones
Directora ( E ) de Liquidaciones y Garantías</t>
  </si>
  <si>
    <t>Comité Institucional de Gestión y Desempeño
(Sesión virtual)</t>
  </si>
  <si>
    <t>Se retiró la actividad 11500-2-1 teniendo en cuenta que en virtud del Artículo 104 del Decreto 2106 del 21 de noviembre de 2019, se realizan algunas modificaciones que afectan el proceso de reclamaciones de persona natural y de persona jurídica, razón por la cual, es necesario armonizar integralmente el procedimiento para el reconocimiento y pago de reclamaciones con la nueva norma, situación que incluye la verificación de la pertinencia para modificar los formatos de presentación de reclamaciones ante la ADRES.</t>
  </si>
  <si>
    <r>
      <t xml:space="preserve">En la sesión de Junta Directiva del 19 de diciembre de 2019 se aprobó el Plan Estratégico 2020-2023 de la ADRES. 
En el cuarto trimestre se ejecutaron $30.000.000 del contrato de prestación de servicio No. 143 de 2019 por concepto del apoyo para la elaboración del Plan Estratégico de la ADRES del periodo 2019 - 2023.
El extracto del acta de dicha sesión, donde se evidencia la mencionada aprobación, así como  las evidencias de la ejecución presupuestal se encuentran en el Informe de cumplimiento de avance de obligaciones contractuales y pago correspondiente a los meses de octubre, noviembre y diciembre se encuentran en la carpeta de la herramienta colaborativa correspondiente a este producto. Ruta: </t>
    </r>
    <r>
      <rPr>
        <sz val="10"/>
        <color theme="4"/>
        <rFont val="Verdana"/>
        <family val="2"/>
      </rPr>
      <t>Oficina Asesora de Planeación / III Trimestre / 12000-1-3-1.</t>
    </r>
  </si>
  <si>
    <t>$0</t>
  </si>
  <si>
    <t>Se publicó el mapa de riesgos actualizado en la página web de la entidad. Este se encuentra en el sieguiente link: https://www.adres.gov.co/Transparencia/Mapa-de-riesgos
Se socializó esta publicación con todos los colaboradores de la entidad mediante correo electrónico el 20/12/19.</t>
  </si>
  <si>
    <r>
      <t xml:space="preserve">El 17 de diciembre se realizó la reunión de autocontrol de la OAPCR.
La evidencia se encuentra en la carpeta de la herramienta colaborativa correspondiente a este producto. Ruta: </t>
    </r>
    <r>
      <rPr>
        <sz val="10"/>
        <color theme="4"/>
        <rFont val="Verdana"/>
        <family val="2"/>
      </rPr>
      <t>Oficina Asesora de Planeación / IV Trimestre / 12000-1-6-2.</t>
    </r>
  </si>
  <si>
    <t>No se tenía meta de gestión prevista para el cuarto trimestre.</t>
  </si>
  <si>
    <t>Se realizó la actualización de los 125 riesgos establecidos en los procesos de la entidad, estos incluyen los riesgos de gestión, corrupción y seguridad de la información.
Esta actualización se realizó con el acompañamiento de los gestores de la OAPCR y de la DGTIC (para los riesgos de seguridad de la información).</t>
  </si>
  <si>
    <t>Se da cumplimiento al reporte correspondiente al cuarto trimestre de 2019, el viernes 20 de diciembre de 2019.</t>
  </si>
  <si>
    <r>
      <t>Se dio cu</t>
    </r>
    <r>
      <rPr>
        <sz val="10"/>
        <color theme="1"/>
        <rFont val="Verdana"/>
        <family val="2"/>
      </rPr>
      <t xml:space="preserve">mplimiento al avance del 100% correspondiente a la realización de 6 informes de seguimientos y evaluaciones de control interno realizadas en el trimestre y 1 informe que estaba pendiente correspondiente al 1 trimestre. En la ruta </t>
    </r>
    <r>
      <rPr>
        <b/>
        <sz val="10"/>
        <color theme="1"/>
        <rFont val="Verdana"/>
        <family val="2"/>
      </rPr>
      <t>\ADRES\Plan de Acción 2019 - Oficina Contro</t>
    </r>
    <r>
      <rPr>
        <sz val="10"/>
        <color theme="1"/>
        <rFont val="Verdana"/>
        <family val="2"/>
      </rPr>
      <t>l Interno\Evidencias Productos\IV trimestre\11800-1-2-1, se encuentran 7 carpetas con los respectivos informes y soportes de cumplimiento.
1.         GESTIÓN DE PAGOS Y MANEJO DE PORTAFOLIO – DGRFS (Octubre).
2.         SEGUIMIENTO IMPLEMENTACION CRM (Octubre).
3          GESTION INTEGRAL RÉGIMEN CONTRIBUTIVO: Procedimiento de Giro Directo, Validación y registro proceso de compensación (Octubre).
4.         GESTION INTEGRAL RÉGIMEN CONTRIBUTIVO: Devoluciones de cotización (Diciembre).
5.         GESTIÓN JURÍDICA COBRO COACTIVO (Diciembre).
6.         SEGUIMIENTO A MIPG. (Diciembre).
7.          Gestión de Requerimientos (Pendiente de 1 Trimestre).</t>
    </r>
  </si>
  <si>
    <r>
      <t>Se dio cumplimiento al avance del 100% correspondiente a la realización de 4 informes para dar respuesta a los Requerimientos Legales Internos. En la ruta \</t>
    </r>
    <r>
      <rPr>
        <b/>
        <sz val="10"/>
        <rFont val="Verdana"/>
        <family val="2"/>
      </rPr>
      <t>ADRES\Plan de Acción 2019 - Oficina Control Interno\Evidencias Productos\IV trimestre\11800-1-3-1,</t>
    </r>
    <r>
      <rPr>
        <sz val="10"/>
        <rFont val="Verdana"/>
        <family val="2"/>
      </rPr>
      <t xml:space="preserve"> se encuentran 4 carpetas con los respectivos informes y soportes de cumplimiento.
1.         Seguimiento a las medidas de austeridad en el gasto público en ADRES (Informe octubre).
2.         Informe cuatrimestral y pormenorizado del estado del control interno de ADRES (noviembre).
3.         Seguimiento al cumplimiento del Artículo 76 de la ley 1474 de 2011. Atención al Ciudadano y PQR (Informe noviembre).
4.         Arqueo Caja Menor - ADRES- 2019. (Informe octubre).</t>
    </r>
  </si>
  <si>
    <r>
      <t>Se dio cumplimiento al avance del 100% correspondiente a la realización de 1 informe para dar respuesta a los Requerimientos Legales Externos. En la ruta</t>
    </r>
    <r>
      <rPr>
        <b/>
        <sz val="10"/>
        <rFont val="Verdana"/>
        <family val="2"/>
      </rPr>
      <t xml:space="preserve"> \ADRES\Plan de Acción 2019 - Oficina Control Interno\Evidencias Productos\IV trimestre\11800-1-4-1,</t>
    </r>
    <r>
      <rPr>
        <sz val="10"/>
        <rFont val="Verdana"/>
        <family val="2"/>
      </rPr>
      <t xml:space="preserve"> se encuentra 1 carpeta con los respectivos informes y soportes de cumplimiento.
1.         Revisión y envío de la Gestión Contractual del Trimestre a la CGR, a través del SIRECI (Reporte Octubre).</t>
    </r>
  </si>
  <si>
    <t>Actividad cumplida al 100% en el Tercer Trimestre.</t>
  </si>
  <si>
    <r>
      <rPr>
        <sz val="10"/>
        <color theme="1"/>
        <rFont val="Verdana"/>
        <family val="2"/>
      </rPr>
      <t>Se da cumplimiento al avance del 100% correspondiente a la emisión de 3 Boletines de autocontrol. En la ruta</t>
    </r>
    <r>
      <rPr>
        <b/>
        <sz val="10"/>
        <color theme="1"/>
        <rFont val="Verdana"/>
        <family val="2"/>
      </rPr>
      <t xml:space="preserve"> \ADRES\Plan de Acción 2019 - Oficina Control Interno\Evidencias Productos\IV trimestre\11800-1-6-1</t>
    </r>
    <r>
      <rPr>
        <sz val="10"/>
        <color theme="1"/>
        <rFont val="Verdana"/>
        <family val="2"/>
      </rPr>
      <t>, se encuentran los 3 boletines emitidos por la OCI correspondientes a los meses de octubre, noviembre y diciembre de 2019. 
1.         Boletín No. 10 - Régimen del Control Fiscal (Art 267).
2.         Boletín No. 11 – Componentes del Sistema de Control Interno – Boletín # 9 Sintonía.
3.         Boletín No. 12 – Evaluación Plan de Acción 2019 – Boletín # 10 Sintonía.</t>
    </r>
  </si>
  <si>
    <t>La OCI realiza reuniones mensuales de autocontrol. Se anexan 2 actas de reunión.</t>
  </si>
  <si>
    <r>
      <rPr>
        <b/>
        <sz val="10"/>
        <rFont val="Verdana"/>
        <family val="2"/>
      </rPr>
      <t>20191230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tiene que actualmente los servicios se han implementado correctamente conforme al objeto contractual. Como evidencia se relaciona el acta de cumplimiento y satisfacción de la consultoría y algunas imágenes de los servicios expuestos en IPv6. 
Ver:
Evidencia\IV trimestre\Transversal\ 11600-2-2-1\acta20191227_GerenciaSatisfaccion.pdf
Evidencia\IV trimestre\Transversal\ 11600-2-2-1\adres (1).jpeg
Evidencia\IV trimestre\Transversal\ 11600-2-2-1\adres (2).jpeg
Ahora bien, frente al pago, se indica que el proveedor ECOMIL tiene asignado contrato 154 de 2019 y cuyo valor total es por $196.161.810 M/CTE incluido IVA. Cuya fecha de inicio fue el 30/08/2019. Para el seguimiento actual se tiene por pagar un valor de:
•	$78.464.724. el cual corresponde al 40% del valor total del contrato,
•	$98.080.905. Cuenta por pagar del informe radicado el 30 de diciembre de 2019.
De igual manera, se confirma que se solicitó la liberación de recursos por un valor de $ 7.400.415,00, esto conforme al radicado número S11610040919021609I000003156700
La evidencia de los pagos realizados y de las cuentas de cobro se encuentran dentro de la ruta Evidencia\IV trimestre\Transversal\ 11600-2-2-1.</t>
    </r>
  </si>
  <si>
    <r>
      <rPr>
        <b/>
        <sz val="10"/>
        <rFont val="Verdana"/>
        <family val="2"/>
      </rPr>
      <t>20191231</t>
    </r>
    <r>
      <rPr>
        <sz val="10"/>
        <rFont val="Verdana"/>
        <family val="2"/>
      </rPr>
      <t xml:space="preserve">. Para este trimestre, conforme las directrices dadas por la OAPCR, en las cuales se debe realizar una reunión de autocontrol y seguimiento a los procesos que evidencien monitoreo a los riesgos, indicadores, planes de mejoramiento, manuales y documentos asociados. Para lo cual, el pasado 03 de diciembre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Productos\IV trimestre\Transversal\11600-2-7-1. De igual manera, se relaciona copia del acta de dicha reunión. </t>
    </r>
  </si>
  <si>
    <r>
      <rPr>
        <b/>
        <sz val="10"/>
        <rFont val="Verdana"/>
        <family val="2"/>
      </rPr>
      <t>20191231</t>
    </r>
    <r>
      <rPr>
        <sz val="10"/>
        <rFont val="Verdana"/>
        <family val="2"/>
      </rPr>
      <t>. Para este trimestre, esta actividad no tenía alcance definido</t>
    </r>
  </si>
  <si>
    <r>
      <rPr>
        <b/>
        <sz val="10"/>
        <rFont val="Verdana"/>
        <family val="2"/>
      </rPr>
      <t>20191231</t>
    </r>
    <r>
      <rPr>
        <sz val="10"/>
        <rFont val="Verdana"/>
        <family val="2"/>
      </rPr>
      <t>. Durante este IV trimestre se llevó a cabo la identificación de los riesgos de Seguridad de la Información, para lo cual en reunión con los enlaces delegados de los diferentes procesos se hizo el respectivo reconocimiento. Ver copia de listados de asistencia de algunas reuniones: (Evidencias Productos\IV trimestre\Transversal\11600-2-10-1). Ahora bien, los riesgos identificados fueron remitidos por cada uno de los lideres de proceso a la OAPCR y allí se hizo la consolidación de los diferentes mapas y se encuentra publicado el mapa de riesgos en https://www.adres.gov.co/Transparencia/Mapa-de-riesgos</t>
    </r>
  </si>
  <si>
    <r>
      <rPr>
        <b/>
        <sz val="10"/>
        <rFont val="Verdana"/>
        <family val="2"/>
      </rPr>
      <t>20191231.</t>
    </r>
    <r>
      <rPr>
        <sz val="10"/>
        <rFont val="Verdana"/>
        <family val="2"/>
      </rPr>
      <t xml:space="preserve"> Esta actividad fue cambiada dentro del plan de acción de la DGTIC para el 4to trimestre, conforme a correo enviado por el ingeniero Sergio Soler el pasado 05 de diciembre de 2019 y justificado en el comité Institucional de Gestión y Desempeño del mes de diciembre (Ver IV trimestre\Transversal\11600-2-4-1\Solicitud de cambios al plan de acción DGTIC.msg).
Ahora bien, teniendo en cuenta el desarrollo de la nueva actividad se ha llevado a cabo la elaboración del procedimiento, el cual fue entregado a revisión y aprobación por parte del director de la DGTIC. El cual, fue aprobado mediante correo electrónico el día 26 de diciembre de 2019 (Ver IV trimestre\Transversal\11600-2-11-1\)</t>
    </r>
  </si>
  <si>
    <r>
      <rPr>
        <b/>
        <sz val="10"/>
        <rFont val="Verdana"/>
        <family val="2"/>
      </rPr>
      <t>20191231</t>
    </r>
    <r>
      <rPr>
        <sz val="10"/>
        <rFont val="Verdana"/>
        <family val="2"/>
      </rPr>
      <t>. 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79% frente a la escala de calificación del ciclo PHVA y un cumplimiento de 73%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Productos\IV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</si>
  <si>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20191231</t>
    </r>
    <r>
      <rPr>
        <sz val="10"/>
        <rFont val="Verdana"/>
        <family val="2"/>
      </rPr>
      <t>. Para este trimestre, esta actividad no tenía alcance definido.</t>
    </r>
  </si>
  <si>
    <r>
      <rPr>
        <b/>
        <sz val="10"/>
        <rFont val="Verdana"/>
        <family val="2"/>
      </rPr>
      <t>20191231</t>
    </r>
    <r>
      <rPr>
        <sz val="10"/>
        <rFont val="Verdana"/>
        <family val="2"/>
      </rPr>
      <t>. Tomando como insumo la definición de los riesgos de Seguridad de la Información que se llevó a cabo en este trimestre, se llevó a cabo la actualización del inventario de Activos de información de la Entidad. En la ruta Evidencias Productos\IV trimestre\Transversal\11600-2-14-1 se encuentra copia del inventario actualizado de la Entidad</t>
    </r>
  </si>
  <si>
    <r>
      <rPr>
        <b/>
        <sz val="10"/>
        <rFont val="Verdana"/>
        <family val="2"/>
      </rPr>
      <t>20191231</t>
    </r>
    <r>
      <rPr>
        <sz val="10"/>
        <rFont val="Verdana"/>
        <family val="2"/>
      </rPr>
      <t>. Se lleva acabo la elaboración de los procedimientos requeridos, los cuales fueron entregados a la OAPCR el día 30 de diciembre de 2019. La evidencia se encuentra en Evidencias Productos\IV trimestre\Transversal\11600-2-15-1</t>
    </r>
  </si>
  <si>
    <r>
      <rPr>
        <b/>
        <sz val="10"/>
        <rFont val="Verdana"/>
        <family val="2"/>
      </rPr>
      <t>20191231</t>
    </r>
    <r>
      <rPr>
        <sz val="10"/>
        <rFont val="Verdana"/>
        <family val="2"/>
      </rPr>
      <t>. Dentro del plan de capacitación y sensibilización se definió el modelo de sensibilización frente a Seguridad de la información que se llevará a cabo para 2019 Para lo cual, durante este trimestre se llevó a cabo varias  campañas de sensibilización conforme a las evidencias que se encuentran en (Evidencia\IV trimestre\Transversal\11600-2-16).
Esta actividad no tiene relacionado recurso financiero.</t>
    </r>
  </si>
  <si>
    <r>
      <rPr>
        <b/>
        <sz val="10"/>
        <rFont val="Verdana"/>
        <family val="2"/>
      </rPr>
      <t>20191231</t>
    </r>
    <r>
      <rPr>
        <sz val="10"/>
        <rFont val="Verdana"/>
        <family val="2"/>
      </rPr>
      <t>. Teniendo en cuenta el plan de capacitación de 2019, el 25 de noviembre de 2019 se llevó acabo la capacitación relacionada a riesgos en Seguridad de la información, la cual fue dirigida a los enlaces de proceso. En la ruta Evidencias Productos\IV trimestre\Transversal\11600-2-17-1 se encuentra los listados de asistencia de la capacitación realizada</t>
    </r>
  </si>
  <si>
    <t>20191231.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5.345
# Registros notificados en auditorias preventivas igual a 213,761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46.273 registros más. 
El soporte de medición de la evidencia para la actual actividad se encuentra en Evidencia\IV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Evidencia\IV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Evidencia\IV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Evidencia\IV trimestre\Estratégico\11600-1-1-1-1\ WilliamAndrésPáez.
Por lo tanto, para el presente seguimiento, se tenía definido un total de $36.720.000, de los cuales hasta el momento se han causado obligaciones por un valor de $24.480.000 dando un cumplimiento de 66.67 %.</t>
  </si>
  <si>
    <r>
      <rPr>
        <b/>
        <sz val="10"/>
        <rFont val="Verdana"/>
        <family val="2"/>
      </rPr>
      <t>20191231</t>
    </r>
    <r>
      <rPr>
        <sz val="10"/>
        <rFont val="Verdana"/>
        <family val="2"/>
      </rPr>
      <t>.
Se identifica que la población depurada en la BDUA por casos especiales las siguientes tipologias:
"SGD MSPS 201913001534501 SGD CAS67742N3Y0R5 0000351865 11/12/2019" cantidad 1
"SGD MSPS 201813000312721 SGD60775 28/10/2019" cantidad 11
"SGD MSPS 20191300015831 SGD 227631 21/11/2019" cantidad 291933
Para presuntos repetidos se identifican las siguie tes tipificaciones de los registros depurados:
"DEFINITIVO AUDITORIA" cantidad 27874
"DEPURADO EL 10/12/2019" cantidad 4656
"DEPURADO EL 16/10/2019" cantidad 23301
"DETECTADO, ACLARADO POR LA ENTIDAD" cantidad 7559</t>
    </r>
  </si>
  <si>
    <r>
      <rPr>
        <b/>
        <sz val="10"/>
        <rFont val="Verdana"/>
        <family val="2"/>
      </rPr>
      <t>20191231</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385 
#PQRSD BDUA recibidas con fecha máxima de respuesta en el trimestre igual a 463 
CRM
# PQRSD BDUA atendidas en términos de ley en el trimestre igual a 1207
#PQRSD BDUA recibidas con fecha máxima de respuesta en el trimestre igual a 1631 
Teniendo en cuenta que la meta anual se definió como 100% y por lo tanto la meta trimestral quedo en 25%, el comportamiento del indicador para este periodo de medición fue 21.39%.
El soporte de medición de la evidencia para la actual actividad se encuentra en Evidencia\II trimestre\Estratégico\11600-1-1-1-4 y corresponde al archivo 11600-1-1-1-4.xlsx. </t>
    </r>
  </si>
  <si>
    <t>20191230.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1207 
# Requerimientos de aplicaciones misionales recibidos en términos de ANS igual a 1631
Teniendo en cuenta que la meta anual se definió como 100% y por lo tanto la meta trimestral quedo en 25%, el comportamiento del indicador para este periodo de medición fue 18.5%.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YulyMargothOtalora.
LIBERACIÓN DE RECURSOS
Se hacen las siguientes aclaraciones frente a la liberación de recursos:
* En el mes de mayo el ingeniero Manuel Peña se retiró como contratista para lo cual, se envio memorando solicitando la terminación anticipada del contrato quedando un valor a pagar por $39,725,983 (ver: Evidencias Productos\IV trimestre\Estratégico\11600-1-1-2-1\ManuelPeña\terminacionAnticipada.pdf)
* Contratar la implementación e integraciones de los sistemas misionales de la ADRES con el ERP. por valor de $364.000.000 y 
* Implementar los flujos para la gesrtión de los procesos de repetición por valor de $277.671.089
(VER: Evidencias Productos\IV trimestre\Estratégico\liberacionRecursos.pdf)</t>
  </si>
  <si>
    <t>20191231. Conforme a lo definido dentro de los contratos  0147 y 0152 de 2019 los cuales corresponde a Carlos Guarin y Perla Rojas, se llevó a cabo la estructuración y elaboración del Plan Estratégico de TI, el cual entró a fase de aprobación por parte de la dirección de la Entidad. 
Para lo cual se adjuntan los procedimientos que en primera instancia se ven afectados dentro del marco del PETI; así como el plan estriucturado. La evidnecia se encuentra en: Evidencias Productos\IV trimestre\Transversal\11600-2-5-1
Ahora bien. A continuación, se relaciona el balance económico efectuados para esta actividad:
Carlos Guarín. Quien tiene el contrato 0147 de 2019 y cuyo valor total es por $62.475.000 y valor mensual de $12.495.000. Cuya fecha de ingreso fue el 16/08/2019. Para el seguimiento actual se ha pagado un total de $24.990.000 y se tiene una cuenta por pagar por valor de $12.950.000. La evidencia de los pagos realizados y de las cuentas de cobro se encuentran dentro de la ruta Evidencia\IV trimestre\Transversal\11600-2-5-1\ carlosGuarin.
Perla Rojas. Quien tiene el contrato 0152 de 2019 y cuyo valor total es por $52.500.000 y valor mensual de $10.500.000. Cuya fecha de ingreso fue el 27/08/2019. Para el seguimiento actual se ha pagado un total de $21.000.000 y se tiene una cuenta por pagar por valor de $10.500.000. La evidencia de los pagos realizados y de las cuentas de cobro se encuentran dentro de la ruta Evidencia\IV trimestre\Transversal\11600-2-5-1\ perlaRojas. 
A su vez, se relaciona oficio en la cual se pide la eliminación de la línea Prestar servicios profesionales para apoyar la estructuración y elaboración del Plan Estratégico de TI y  a su vez la inclusión de 2 líneas relacionadas con los contratistas, teniendo por lo cual un valor de ejecución correspondiente a: $62,475,000 (contratista carlos Guarin) y $52,500,000 (Contratista Perla Rojas) para un total de 114,975,000 (Se adjunta memorando Evidencias Productos\IV trimestre\Transversal\11600-2-5-1\memorandoLiberacionRecursos.pdf</t>
  </si>
  <si>
    <r>
      <rPr>
        <b/>
        <sz val="10"/>
        <rFont val="Verdana"/>
        <family val="2"/>
      </rPr>
      <t>20191231</t>
    </r>
    <r>
      <rPr>
        <sz val="10"/>
        <rFont val="Verdana"/>
        <family val="2"/>
      </rPr>
      <t xml:space="preserve">. Tal como se informó en el seguimiento del tercer trimestre, esta actividad se cumplió al 100%,  para lo cual se relaciona el avance de dicho mes:
</t>
    </r>
    <r>
      <rPr>
        <i/>
        <u/>
        <sz val="9"/>
        <rFont val="Verdana"/>
        <family val="2"/>
      </rPr>
      <t>20190930.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r>
      <rPr>
        <sz val="10"/>
        <rFont val="Verdana"/>
        <family val="2"/>
      </rPr>
      <t xml:space="preserve">
Dentro de la ruta Evidencias Productos\IV trimestre\Estratégico\11600-1-1-2-1\liberacionRecursos.pdf, se encuentra la solicitud de liberación de recursos para la línea del plan de adquisiciones: "Contratar el servicio de documentación de los servicios TI y los sistemas de información"</t>
    </r>
  </si>
  <si>
    <r>
      <rPr>
        <b/>
        <sz val="10"/>
        <rFont val="Verdana"/>
        <family val="2"/>
      </rPr>
      <t>20191230</t>
    </r>
    <r>
      <rPr>
        <sz val="10"/>
        <rFont val="Verdana"/>
        <family val="2"/>
      </rPr>
      <t>. Dentro de la ruta Evidencias Productos\IV trimestre\Estratégico\11600-1-1-2-1\liberacionRecursos.pdf, se encuentra la solicitud de liberación de recursos para la línea del plan de adquisiciones: "Servicios BPO- Mesa de ayuda"</t>
    </r>
  </si>
  <si>
    <t xml:space="preserve">Se ajustan valores totales y trimestrales de las actividades 11600-2-4, 11600-2-5, 11600-2-6 y 11600-1-1-2, según solicitudes en memorandos de modificación del Plan Anual de Adquisiciones 2019, suscritos por el Director de Tecnologías de la Información y las Comunicaciones, y aportados como evidencias del reporte del cuarto trimestre. Los ajustes en las metas trimestrales se hacen de acuerdo a su aplicabilidad y teniendo en cuenta las fechas de los memorandos. 
Estos ajustes a su vez se ven reflejados en el el Plan Anual de Adquisiciones 2019. </t>
  </si>
  <si>
    <t>Sergio Andrés Soler Rosas
Director de Tecnologías de la Información y las Comunicaciones</t>
  </si>
  <si>
    <r>
      <t xml:space="preserve">Durante el cuarto trimestre se realizaron 29 solicitudes de publicación y actualización de documentos en la sección de Transpartencia de la página Web, correpondientes a procesos, procedimiento, mapa de riesgos y otros documentos asociados. En la carpeta de la herramienta colaborativa correspondiente a este producto, se encuentran los correos electrónicos que evidencian estas solicitudes. Ruta: </t>
    </r>
    <r>
      <rPr>
        <sz val="10"/>
        <color theme="4"/>
        <rFont val="Verdana"/>
        <family val="2"/>
      </rPr>
      <t>Oficina Asesora de Planeación / IV Trimestre / 12000-1-11-1.</t>
    </r>
  </si>
  <si>
    <r>
      <rPr>
        <b/>
        <sz val="10"/>
        <rFont val="Verdana"/>
        <family val="2"/>
      </rPr>
      <t>20191231.</t>
    </r>
    <r>
      <rPr>
        <sz val="10"/>
        <rFont val="Verdana"/>
        <family val="2"/>
      </rPr>
      <t xml:space="preserve"> Esta actividad fue retirada del plan de acción de la DGTIC, conforme a correo enviado por el ingeniero Sergio Soler el pasado 05 de diciembre de 2019 y justificado en el comité Institucional de Gestión y Desempeño del mes de diciembre
(Ver IV trimestre\Transversal\11600-2-4-1\Solicitud de cambios al plan de acción DGTIC.msg).
Dentro de la ruta Evidencias Productos\IV trimestre\Estratégico\11600-2-4-1\liberacionRecursos.pdf, se encuentra la solicitud de retiro del contrato relacionado con esta actividad en el plan de adquisiciones.</t>
    </r>
  </si>
  <si>
    <t>Alvaro Rojas
Director de Liquidaciones
y Garantías</t>
  </si>
  <si>
    <t>Para el saneamiento de aportes patronales de régimen especial se generaron 4 actas de saneamiento. 
En el saneamiento de aportes patronales de SGP continuó la conciliación de la cuentas SGP con las EPS logrando la conciliación de 37 de ellas.
Con cargo a esta actividad se ejecuta el contrato de prestación de servicios No. 036_2019.</t>
  </si>
  <si>
    <t>En el trimestre se entregaron los siguientes productos:
I fase del aplicativo de reintegro de recursos.
El validador de licencias de maternidad y paternidad.
La consulta de devoluciones para los aportantes.
En prestaciones económicas de régimen especial y exceptuado se implementó: la automatización de la liquidación proporcional de licencias de maternidad, incluyendo cotizaciones a los regímenes contributivo y especiales y de excepción y, la parametrización  para no permitir cargue de incapacidades anteriores a las ya cargadas para garantizar la cronología de los eventos.
Con cargo a esta actividad se ejecutan los contratos de prestación de servicios No. 094_2019, 0114_2019 y 0117_2019.</t>
  </si>
  <si>
    <t>Fue ajustado el script de preliquidación para BDEX por días.
Fue ajustada la glosa GB064 para que se reconozca por días los afiliados de BDEX y BDUA.
Se creó la glosa GB115 para no permitir reconocimiento a los mayores de 100 años a menos que estén certificados en la RNEC
Con cargo a esta actividad se ejecuta el contrato de prestación de servicios No. 043_2019.</t>
  </si>
  <si>
    <t>Fueron ejecutados 12 procesos de compensación en los tiempos establecidos en la normativa.
Con cargo a esta actividad se ejecutan los contratos de prestación de servicios No. 040 y 042_2019.</t>
  </si>
  <si>
    <t>En el trimestre se efectuaron tres procesos de Liquidación Mensual de Afiliados, uno por mes, en los tiempos establecidos en la normativa vigente, se  generó la certificación y la bitácora de cada proceso como se observa en las evidencias de esta actividad.</t>
  </si>
  <si>
    <t>Se ejecutó la auditoría ARS012 para el régimen subsidiado y la auditoría ARCON005 para el régimen contributivo.
Las solicitudes de aclaracion  fueron remitidas a las EPS en la cuarta semana de diciembre de 2019.
Con cargo a esta actividad se ejecuta el contrato de prestación de servicios No. 0186_2019.</t>
  </si>
  <si>
    <t>Durante el trimestre se elaboraron los siguientes documentos:  
1) Nuevo esquema de reclamaciones: metodología
2) Comportamiento del recobro de nuevos medicamentos desde el año 2012 a 2017</t>
  </si>
  <si>
    <t>En el cuarto trimestre fueron radicadas  146 solicitudes de devolución de Aportes de regímenes especiales o exceptuados. A la fecha todo se ha respondido en términos. 
Con cargo a esta actividad se ejecuta el contrato de prestación de servicios No. 060_2019.</t>
  </si>
  <si>
    <t>En el cuarto trimestre fueron radicadas  879 solicitudes de prestaciones económicas de regímenes especiales o exceptuados. A la fecha todo se ha respondido en términos. 
Con cargo a esta actividad se ejecuta el contrato de prestación de servicios No.059_2019.</t>
  </si>
  <si>
    <t>La ADRES con el fin de apoyar al MSPS en la estructuración del saneamiento definitivo de las cuentas de recobro relacionadas con los servicios y tecnologías de salud no financiados con cargo a la UPC del régimen contributivo elaboró una versión premilinar del manual operativo por el cual Recobros que se presenten ante la ADRES por las entidades recobrantes en virtud del Artículo 237 de la Ley 1955 de 2019. 
De igual forma, remitió al MSPS las observaciones al decreto por el cual se reglamenta el Artículo 237 de la Ley 1955 de 2019 y elaboró una versión preliminar de la resolución que define el procedimiento para la verificación, control y pago de las cuentas que las entidades recobrantes presenten a la ADRES en virtud de lo establecido en el el precitado artículo.</t>
  </si>
  <si>
    <t>La ADRES, con el propósito de apoyar al MSPS  en la definición de los techos o presupuesto máximos que la ADRES transferirá a las EPS para financiar y gestionar los servicios y tecnologías en salud no financiados con la UPC, remitió al Ministerio los insumos correspondientes para que dicha entidad pudiera efectuar el cálculo correspondiente. La información se extrajo de la base de recobros que resportan las EPS.
De igual forma, la ADRES  elaboró una versión preliminar de la resolución que define el procedimiento para la verificación, control y pago de las cuentas que las entidades recobrantes presenten  en virtud de los presupuestos máximos o techos.</t>
  </si>
  <si>
    <t>Se llevó a cabo una reunión de autocontrol y seguimiento a los procesos  a cargo de la Dirección en la que se realizó el monitoreo a los riesgos, indicadores, planes de mejoramiento, manuales y documentos asociados a cargo del área, acta de la reunión se encuentra en el indicador correspondiente.</t>
  </si>
  <si>
    <t xml:space="preserve">Durante el cuarto trimestre del año 2019 (octubre a diciembre), no se recibieron por parte de la Firma Auditora paquetes de recobros. 
La ADRES ha adelantado las labores de la reingeniería de recobros y actualmente efectuó el cierre de un paquete del rezago </t>
  </si>
  <si>
    <t>Fueron validados por la Dirección de Otras Prestaciones de la ADRES 7 paquetes de reclamaciones de los 7 requeridos para validación.</t>
  </si>
  <si>
    <t>En el cuarto trimestre de 2019, la Dirección de Otras Prestaciones efectuó el seguimiento de los paquetes de recobros y reclamaciones. El seguimiento fue registrado en el formato de Excel adoptado por esta Dirección. 
Los citados formatos se diligencian con las fechas de remisión, las fechas de revisión por parte de la ADRES, fechas de conciliación, cantidades, valores y observaciones derivadas del seguimiento.</t>
  </si>
  <si>
    <t xml:space="preserve">Se solicitaron y se resolvieron los siguientes apoyos técnicos: en octubre de 2019, se tramitaron 107 solicitudes de apoyos técnicos; en noviembre 96 y en diciembre 70, para un total de 273 solicitudes de apoyos técnicos resueltos por la Dirección de Otras Prestaciones en el cuarto trimestre de 2019.
Se informa que el valor asignado para el desarrollo de la actividad en el último trimestre corresponde al valor pagado a los contratistas (del 01 de octubre al 30 de noviembre de 2019, quedando pendiente el pago de diciembre de 2019 el cual se efectuará una vez terminado el mes)
</t>
  </si>
  <si>
    <t>Reclamaciones: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
Adicionalmente se adelantó un plan de trabajo mediante el cual se identificó el universo de reclamaciones en el rezago y se efectuó una distinción de las reclamaciones con “baja complejidad” todo esto en el marco de la automatización de validaciones en el proceso de auditoría de reclamaciones.
Se adjunta una presentación en la cual se muestran los adelantos realizados en la reingeniería de reclamaciones.
El valor asignado corresponde al valor del contrato del asesor de los meses de octubre y noviembre de 2019.</t>
  </si>
  <si>
    <t>En el cuarto trimestre del año 2019 se efectuaron los pagos de los paquetes GT010116EPS013_06, GT010116EPS016_11, GT010117EPS013_03, GT010117EPS016_06, GT010417_RES493EPS013_02, GT020216EPS012_1, GT020216EPS013_06, GT020216EPS016_06, GT020216EPS037_02, GT020217EPS013_03, GT021027EPS016_04, GT030316EPS012_1, GT030316EPS013_05, GT030316EPS037_02, GT030417EPS013_03, GT040416EPS012_1, GT040416EPS013_06, GT050516EPS012_1, GT050516EPS013_06, GT051017EPS012_1, GT051017EPS016_01, GT051017EPS037_01, GT061016EPS012_1, GT061117EPS012_1, GT061117EPS016_01, GT061117EPS037_01, GT061117EPSEPS002_01, GT071116EPS012_1, GT081216EPS013_02, GT081216EPS016_04, GTDEFJUD092018EPS012_1, GTDEFJUD092018EPS016_1, GTDEFJUD092018EPS037_01, GTDEFJUD092018EPSEPS002_01 y  GTDEFJUD102018EPS002_01
Los memorandos de las ordenaciones corresponden a los números identificados en el SGD con los radicados 35959, 36244, 36245, 36249, 36253, 36255, 36258 y 36261</t>
  </si>
  <si>
    <t>Se efectuaron las publicaciones de los giros de recobros de los meses de octubre, noviembre y diciembre de 2019 en la página web de la ADRES, en donde se informaron los pagos de los giros previos y los giros de los desistimientos. 
https://www.adres.gov.co/Giros</t>
  </si>
  <si>
    <t>Se ordenaron (19) paquetes de reclamaciones durante los meses de octubre, noviembre y diciembre de 2019 correspondientes a los números 24086, 24096, 24106, 24102, 24099, 24048, 24105, 24041, 24059, 24107, 24108, 24110, 24113, 24114, 24118, 24123, 24121, 24128 y 24119.</t>
  </si>
  <si>
    <t>Se efectuaron las publicaciones de los paquetes de reclamaciones girados en el cuarto trimestre del año.</t>
  </si>
  <si>
    <t>Se efectuaron sesiones mediante las cuales se revisaron los controles de los manuales operativos los cuales sirvieron de insumos para elaborar y actualizar los riesgos de la Dirección de Otras Prestaciones.</t>
  </si>
  <si>
    <t xml:space="preserve">Los avances realizados en el marco de la optimación y sistematización del proceso de auditoría integral de recobros y reclamaciones, se adelantaron las siguientes actividades: 
Recobros:
Resultados de la prueba piloto y retroalimentación con las EPS. Inicio del Piloto II de la reingeniería de recobros, resultados y asistencias técnicas.
Se adjunta una presentación (PPT) en la cual se evidencia el avance de cada una de las etapas (diapositiva # 8, 9 y 10)
Reclamaciones: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
Se adjunta copia de la circular No. 005 con la cual se informó a las entidades reclamantes incluidas en el registro especial de prestadores de servicios de salud respecto de la radicación electrónica de reclamaciones.
</t>
  </si>
  <si>
    <t>Se incluyo valor total y en el cuarto trimestre en la actividad 11400-1-1-9, de acuerdo con la inclusión de la contratación respectiva en el Plan de Adquisiciones</t>
  </si>
  <si>
    <t>Se ajusta valor de la actividad 11500-1-1-3 debido a la prórroga y adición al contrato 019 de 2019 por necesidades del servicio, efectuada en el mes de septiembre.</t>
  </si>
  <si>
    <t xml:space="preserve">SE ADELANTÓ PROYECTO DE OFICIO ENCAMINADO A LOGRAR ACERCAMIENTO CON LA RAMA JUDICIAL, EL CUAL SE ENCUENTRA EN PROCESO DE AJUSTES. 
DE OTRO LADO, Y A TRAVES DE LA POLÍTICA DE PREVENCIÓN DEL DAÑO ANTIJURÍDICO (ANEXA) LA CUAL FUE REMITIDA A LA AGENCIA NACIONAL DE DEFENSA JURÍDICA DEL ESTADO, SE PRETENDE LOGRAR UN ACERCAMIENTO CON LOS JUECES EN MATERIA DE RECOBROS Y RECLAMACIONES A TRAVES DE LA ELABORACIÓN DE UNA CARTILLA, DE MODO TAL QUE SE LOGRE UN IMPACTO TANTO EN ACCIONES CONSTITUCIONALES COMO EN LA DEFENSA EN GENERAL. 
COMO SOPORTE SE CARGA CORREO CONTENTIVO DEL PROYECTO Y LA POLÍTICA DE PREVENCIÓN DEL DAÑO ANTIJURÍDICO REMITIDA EN LA CUAL SE EVIDENCIA COMO ACCIÓN LA CREACIÓN DE LA CARTILLA PREVIAMENTE CITADA. </t>
  </si>
  <si>
    <t xml:space="preserve">Después de adelantar las gestiones para ejecutar el contrato, se determinó junto con el Ministerio de Salud y el Ministerio de transporte, que no se requería de un convenio para otorgar acceso a los funcionario de ADRES para realizar las consultas en las bases del Ministerio de Transporte, por lo que se recomendó por parte de los supervisores la liquidación del convenio, la cual se tiene prevista para el año 2020, sin embargo, a la fecha se tiene acceso a los aplicativos y se realizan las consultas de acuerdo a los permisos otorgados. Adicionalmente, se han adelantado acercamientos con la concesión RUNT para generar un convenio directo con ellos y tener adicionalmente el acceso a través de web service, se adjunta el proyecto de convenio que se ha trabajado con la concesión. </t>
  </si>
  <si>
    <t>La Dirección de Tecnologías suscribió un convenio con la RNEC por lo que resultaba inopertante suscribir uno nuevo, por lo cual se optó por realizar las consultas a través de la mesa de servicios y se reporta a la DGTIC las bases y la información que se necesita cruzar. Como evidencia se tiene el convenio 005 de 2018.</t>
  </si>
  <si>
    <t xml:space="preserve">Se realizó la conciliación de 1270 pagos equivalentes a $612.662.008,75 con corte al 23 de diciembre de 2019, teniendo en cuenta que la conciliación se realiza con posterioridad a los pagos. A la fecha, las áreas continúan realizando la conciliación. Se tiene como soporte documento en Excel y los correos electrónicos intercambiados por los funcionarios JAIRO GUERRERO y BRYAN LOPEZ. Esta actividad se encuentra asociada al contratl de JAIRO WILLIAM GUERRERO MALAGÓN por lo que se anexan los informes de gestión del contratista. </t>
  </si>
  <si>
    <t xml:space="preserve">Se actualiza la base con la gestión de cobro realizada frente a las reclamaciones susceptibles de cobro. Se tiene como evidencia la base "fenix" actualizada. Esta actividad se encuentra vinculada al contrato No. 77 de JUAN SEBASTIAN HERNANDEZ ESPINOSA, por lo cual se anexan los respectivos informes de gestión del contratista. </t>
  </si>
  <si>
    <t>Se perfilaron 3579 reclamaciones correspondientes a 1540 terceros, los cuales fueron remitidos para valoración a la Central de Inversiones S.A. (CISA), entidad que el 27 de diciembre de 2019, remitió la oferta por valor de 83.711.035, la cual tiene vigencia hasta enero 20 de 2020. Se tiene como evidencia la base remitida en la cual se individualizaba por terceros conforme a los requerimientos de CISA, la base de las reclamaciones perfiladas y la oferta remitida.</t>
  </si>
  <si>
    <t>La Central de Inversiones S.A. (CISA) remitió la oferta el día 27 de diciembre de 2019, por lo cual no fue posible suscribir el acta de incorporación en el año 2019. Se tiene como evidencia la oferta remitida por la Central de Inversiones S.A.</t>
  </si>
  <si>
    <t xml:space="preserve">Teniendo en cuenta el concepto del Consejo de Estado, el Grupo de Cobro Coactivo de la OAJ perfiló 103.000 reclamaciones que eran susceptibles de cobro, toda vez que dichas reclamaciones habían sido canceladas entre enero de 2017 y diciembre de 2018, pero al realizar el análisis de los 39.873 terceros, se evidenció que habían reclamaciones pagadas en años anteriores a 2017 por el mismo accidente que se había pagado en el periodo ya mencionado, por tanto susceptibles de adelantar cobro, por lo que se adelantó la respectiva gestión en aras de garantizar la protección de los recursos del Sistema General de Seguridad Social en Salud. Se tiene como evidencia las 39.873 resoluciones expedidas en 2019, las cuales pueden ser consultadas en los expedientes de cobro, sin embargo, se anexa base en EXCEL con la relación de las mismas. A esta actividad se encuentra asociada al contrato 038 de 2019 de SANDRA PATRICIA HOYOS RODRIGUEZ, quien ha venido desarrollando actividades tendientes a dar cumplimiento a la meta fijada en el año. Por lo anterior, se adjuntan los informes de gestión del contratista. </t>
  </si>
  <si>
    <t>N/A</t>
  </si>
  <si>
    <t xml:space="preserve">DURANTE EL TRIMESTRE NO HUBO MOVIMIENTOS EN LOS PROCESOS RELACIONADOS EN ESTA ACCION. CON CORTE 27 DE JUNIO DE 2019 SE TERMINÓ ANTICIPADAMENTE EL CONTRATO 072 DE 2019. COMO SOPORTE SE CARGAN LAS IMAGENES DE LA PAGINA WEB DE LA RAMA JUDICIAL DONDE SE EVINDECIA QUE NO HUBO MOVIMIENTO DE LOS PROCESOS, SIN EMBARGO Y ATENDIENDO LAS RECOMENDACIONES DE LA OFICINA DE PLANEACIÓN SE DEJA CONSTANCIA DE 5 PRODUCTOS ENTREGADOS DURANTE LA VIGENCIA DEL CONTRATO Y QUE SE ENCUENTRAN CARGADOS EN CADA TRIMESTRE, SEGÚN CORRESPONDIÓ. 
EN LA TERMINACIÓN ANTICIPADA DEL CONTRATO SE LIBERARON LOS RECURSOS NO EJECUTADOS. </t>
  </si>
  <si>
    <t xml:space="preserve">ADEMÁS DE LOS CONCEPTOS DE LA OAJ EN ESTE TRIMESTRE SE REFLEJA LA EJECUCIÓN DEL CONTRATO 084 CON LA FIRMA PALACIO JOUVE &amp; GARCÍA POR $130'006,800 + ADICION $61'288920 PARA UN VALOR TOTAL DE $191'275.720. LA FIRMA PJ&amp;G AÚN NO HA RADICADO EL INFORME DE DICIEMBRE NO SE CUENTA CON LOS SOPORTES CORRESPONDIENTES. Se tramitaron7 solicitudes de consulta, como se evidencia en el soporte anexo. </t>
  </si>
  <si>
    <t xml:space="preserve">SE REPORTA CUMPLIMIENTO EN LA MEDIDA EN QUE DURANTE EL TRIMESTRE NO SE HIZO NECESARIO SOLICITARLE AL CONTRATISTA RECURSOS DE CASACIÓN. 
ES IMPORTANTE INDICAR QUE ESTOS RECURSOS SE RADICAN SI LA CORTE SUPREMA DE JUSTICIA DISPONE EL TÉRMINO PARA ELLO, PERO SI POR EL CONTRARIO, DEJA EL EXPEDIENTE A LA ESPERA NO ES FACTIBLE QUE SE REPORTE LA RADICACIÓN DE ALGÚN RECURSO. 
POR LO EXPUESTO, EL CONTRATO DEL DR. JOSE RICARDO HERRERA NO REPORTA CUENTAS DE COBRO HASTA LA FECHA Y SE PROCEDIÓ A LA LIBERACIÓN DEL CDP Y RP RESPECTIVO. </t>
  </si>
  <si>
    <t xml:space="preserve">LA FIRMA DE VIGILANCIA HA REPORTADO SUPERVISIÓN A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CUENTAS DE COBRO Y CUADRO DE PAGOS. </t>
  </si>
  <si>
    <t>DURANTE EL 4 TRIMESTRE SE ENTREGARON OPORTUNAMIENTE 10 INFORMES CON LOS CUALES SE PROCEDIÓ A REALIZAR EL ACTA DE LIQUIDACIÓN Y GESTIÓN DE PAGO. COMO SOPORTE SE ALLEGA CUADRO CONTENTIVO DE LAS SENTENCIAS PAGADAS, LOS RESULTADOS DE LA LIQUIDACIÓN Y LA RESOLUCIÓN POR MEDIO DE LA CUAL SE DISPUSO LA ORDENACIÓN DEL GASTO </t>
  </si>
  <si>
    <t xml:space="preserve">DURANTE EL CUARTO TRIMESTRE SE CARGARON 128 PROCESOS DE ACUERDO CON EL ACCESO PERMITIDO POR LA PLATAFORMA EKOGUI, HUBO REQUERIMIENTOS EFECTUADOS A LA AGENCIA PARA QUE PERMITIERA LA CREACIÓN DE CIERTOS ASUNTOS Y DE ELLO SE OBTUVO RESPUESTA. 
SE ADJUNTA COMO SOPORTE LA BASE DE DATOS CONTENTIVA DE LOS PROCESOS CREADOS EN EKOGUI Y ASIGNADOS A LOS APODERADOS DEL GRUPO DE DEFENSA JUDICIAL DE LA OAJ, LOS SOPORTES CONTABLES (CUADRO DE PAGOS Y CUENTAS DE COBRO) ASÍ COMO LAS RESPUESTAS EMITIDAS POR EL SISTEMA EKOGUI. </t>
  </si>
  <si>
    <t xml:space="preserve">DURANTE EL TRIMESTRE EL APODERADO PENALISTA EJERCIÓ REPRESENTACIÓN EN LA TOTALIDAD DE PROCESOS PENALES Y DENUNCIAS EN LAS CUALES ADRES TIENE INTERÉS DIRECTO EN SU CALIDAD DE VICTIMA. SE ADJUNTA COMO SOPORTE CUADRO CONTENTIVO DE LA BASE DE DATOS EN LAS CUALES SE HA INTERVENIDO Y SE HACE CONSTANTE SEGUIMIENTO, CUADRO DE PAGOS Y CUENTAS DE COBRO. </t>
  </si>
  <si>
    <t xml:space="preserve">DURANTE EL TRIMESTRE SE SOLICITARON 3 INFORMES, LOS CUALES FUERON SUMINISTRADOS EN OPORTUNIDAD, COMO SOPORTE SE SUBE CUADRO DE PAGOS E INFORMES. </t>
  </si>
  <si>
    <t xml:space="preserve">DURANTE EL TRIMESTRE SE BRINDÓ CONTESTACION A LAS PETICIONES Y REQUERIMIENTOS EFECTUADOS EN RELACIÓN CON LOS PROCESOS JUDICIALES EN LOS QUE ADRES ES O NO PARTE. 
COMO SOPORTE SE ADJUNTA COPIA DE LAS RESPUESTAS SUMINISTRADAS, BASE DE DATOS CONTENTIVA DE LA GESTIÓN EFECTUADA POR CADA APODERADO EN EL TRIMESTRE Y LAS CUENTAS DE COBRO DE ESTOS, ASÍ COMO LA RELACIÓN DE PAGOS. 
ES IMPORTANTE DESTACAR QUE SE RELACIONAN REQUERIMIENTOS GESTIONADOS POR LA OAJ RELACIONADOS CON EMBARGOS, Y A LOS CUALES SE ALLEGÓ RESPUESTA DE MANERA OPORTUNA. </t>
  </si>
  <si>
    <t>SE PROCEDE AL CARGUE DE LAS CONVOCATORIAS A COMITÉ DONDE SE RELACIONAN LAS FICHAS ESTUDIADAS, AL IGUAL QUE UNA BASE DE DATOS EN LA CUAL SE INDICAN LOS ASUNTOS SOMETIDOS EN CADA SESIÓN. 
LOS SOPORTES FINANCIEROS SE ENCUENTRAN CARGADOS EN LA ACTIVIDAD 11900-12-1 DONDE IGUALMENTE SE ENCUENTRAN LAS CUENTAS RADICADAS POR LOS APODERADOS JUDICIALES</t>
  </si>
  <si>
    <t xml:space="preserve">"SE PROCEDE AL CARGUE DE LAS CONVOCATORIAS A COMITÉ DONDE SE RELACIONAN LAS FICHAS ESTUDIADAS, AL IGUAL QUE UNA BASE DE DATOS EN LA CUAL SE INDICAN LOS ASUNTOS SOMETIDOS EN CADA SESIÓN. 
LOS SOPORTES DOCUMENTALES SE ENCUENTRAN EN LA ACTIVIDAD 11900-12-3 DADO QUE LAS CONVOCATORIAS EFECTUADAS INCLUYEN FICHAS PRE JUDICIALES Y JUDICIALES; SIN EMBARGO NUEVAMENTE SE PROCEDE A SU CARGUE Y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</si>
  <si>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DE ESTE MODO, MEDIANTE RESOLUCIÓN 42991 DE 30 DE DICIEMBRE SE HIZO EL AJUSTE, SE ESTÁ A LA ESPERA DEL ACUERDO MODIFICATORIO, E IGUALMENTE SE HIZO LA PUBLICACION DE FUNCIONES PERTINENTE EN EL MANUAL DE FUNCIONES DE LA ADRES
COMO SOPORTE SE CARGA ARCHIVO EXCEL CONTENTIVO DE LA RELACION DE SESIONES LLEVADAS A CABO DURANTE EL TRIMESTRE, LA RESOLUCION 42991 DE 2019 Y LAS PROYECCIONES DE LAS ACTAS QUE SE ENCUENTRAN PARA REVISIÓN. </t>
  </si>
  <si>
    <t xml:space="preserve">
DURANTE EL TRIMESTRE SE GARANTIZÓ EL ADECUADO REPARTO DE LOS DOCUMENTOS DISPUESTOS PARA TAL FIN. SE ALLEGA COMO SOPORTE RELACION DE BASE EXCEL CONTENTIVA DE LA GESTIÓN EN LA CUAL SE DISCRIMINA POR PESTAÑAS LA SIGUIENTE INFORMACIÓN SOBRE DOCUMENTAL REPARTIDO:
6 DOCUMENTOS SUPER SALUD
202 PROCESOS JUDICIALES
197 SOLICITUDES (DERECHOS DE PETICION)
389 SOLICITUDES DE EMBARGO
89 CONCILIACIONES
49 RECLAMACIONES
319 DOCUMENTOS PROVENIENTES DE COLPENSIONES. 
IGUALMENTE SE CARGAN LAS CUENTAS DEL CONTRATISTA" 
</t>
  </si>
  <si>
    <t xml:space="preserve">SE CUENTA COMO SOPORTE CON LA BASE DE DATOS EXCEL CONTENTIVA DE LOS PODERES ELABORADOS EN EL TRIMESTRE, LOS PROCESOS, LOS APODERADOS Y LA FECHA DE CADA UNO. 
SE CARGA COMO SOPORTES ADICIONALMENTE LAS CUENTAS DE COBRO DE LA CONTRATISTA. </t>
  </si>
  <si>
    <t xml:space="preserve">DURANTE EL TRIMESTRE SE GESTIONARON 21.606 ACCIONES CONSTITUCIONALES. COMO SOPORTE SE CARGA BASE CONTENTIVA DE LA ESTADISTICA, CUADRO DE PAGOS Y CUENTAS DE COBRO DE LOS CONTRATISTAS QUE APOYAN EL GRUPO. </t>
  </si>
  <si>
    <t xml:space="preserve">Mediante los memorandos identificados en el SGD con los números 34535, 34538, 35709, 35712, 36958 y 36972 se efectuaron las Ordenaciones del Gasto para el Giro Previo de Recobros de los meses de octubre, noviembre y diciembre de 2019. </t>
  </si>
  <si>
    <t xml:space="preserve">De acuerdo con la reunión sostenida con la Oficina Asesora de Planeación  se acordó que el indicador quedará  así:  Para el IV trimestre la organización, digitalización y transferencia del archivo documental de gestión correspondiente a la serie tutelas del mes de Agosto de 2018 y la documentación de otra dependencias pendiente por alistamiento y transferencia del periodo enero - agosto de 2018; quedando totalmente transferida la documentación corrrespondoiente a la vigencia Agosto 2017 a Agosto 2018. El valor ejecutado corresponde al valor promedio mensual del contrato Interadministrativo N.088-2019 suscrito con Servicios Postales Nacionales 4-72 en el componente de archivo, se suben a la carpeta de evidencias las constancias de las transferencias documentales al custodio y los informes mensuales de  octubre, noviembre y diciembre de 2019. </t>
  </si>
  <si>
    <t>Se formalizó la matriz de requisitos legales ante la Oficina Asesora de Planeación y Control de Riesgos y fue comunicada a los integrantes del Grupo Interno de Gestión del Talento Humano.
Producto evidenciado e informado mediante el documento: "Informe diciembre Contrato 70 de 2019", el cual se soporta con el oficio "Solicitud liberacion de saldo y cuentas por pagar".</t>
  </si>
  <si>
    <t>Se finalizó con el proceso de formalización de dicha documentación ante la OAPCR.
El diciembre 2019 se aclaran nuevamente los valores ejecutados para el plan de SG-SST (ver correo electrónico y oficios de liberación)
Producto evidenciado e informado mediante el documentos: "Informe octubre Contrato 70 de 2019"; "Informe noviembre Contrato 70 de 2019"; "Informe octubre Contrato 69 de 2019", Informe noviembre Contrato 69 de 2019, "Informe final - diciembre Contrato 69 de 2019"</t>
  </si>
  <si>
    <t>Producto formalizado consecuente con el producto 11700-1-9-1 "Realizar verificación y actualización de los documentos del SG-SST según requerimientos del decreto 1072 de 2015 y Resolución 1111 de 2017".</t>
  </si>
  <si>
    <t>Producto evidenciado mediante correo electrónico dirigido a la Dirección General de la ADRES.
Este indicador permitó observar el avance al cumplimiento de la normatividad vigente asociada al SG-SST y el compromiso de la entidad y de los roles que intervienen en el mismo.</t>
  </si>
  <si>
    <t xml:space="preserve"> producto 11700-1-16-1, está repetida en la celda 188 y se reporta cumplimiento</t>
  </si>
  <si>
    <t>No aplica, ver análisis del periodo pasado</t>
  </si>
  <si>
    <t>En el cuarto trimestre de 2019, no se presentaron eventos de accidentes de trabajo,  De lo anterior, soportado en Informe diciembre Contrato 70 de 2019.</t>
  </si>
  <si>
    <t>Producto evidenciado mediante listado de asistencia y relacionado en "Informe final - diciembre Contrato 69 de 2019"</t>
  </si>
  <si>
    <t>En razón a las diferentes actividades de cierre de gestión, se obtiene seguimiento hasta septiembre, de la cual no se logró realizar la "Capacitación de Sistema de Seguridad Social realizada" de forma gratuita (ver archivo de seguimiento)</t>
  </si>
  <si>
    <t>En el cuarto trimestre de 2019 se realizaron dos (2) capacitaciones: i. Redacción, ii. Finanzas, evidenciadas mediante listados de asistencia e informes de cumplimiento de obligaciones contractuales por parte del Operador Externo.</t>
  </si>
  <si>
    <t>En razón a las diferentes actividades de cierre de gestión, se obtiene seguimiento hasta septiembre, de la cual no se logró realizar la "Capacitación de Buen Gobierno realizada" de forma gratuita (ver archivo de seguimiento)</t>
  </si>
  <si>
    <t>En atención al reporte del periodo anterior, la Capacitación de Gestión Documental se realizó en su totalidad (ver correos electrónicos y seguimiento al PIC 2019)</t>
  </si>
  <si>
    <t>Se realizó en el periodo anterior.</t>
  </si>
  <si>
    <t>Producto evidenciado de la capacitación "Acceso a la Información" (ver listados de asistencia)</t>
  </si>
  <si>
    <t>En razón a las diferentes actividades de cierre de gestión, se obtiene seguimiento hasta julio, de la cual no se logró realizar la "Capacitación de Desarrollo Territorial y Nacional realizada" de forma gratuita (ver archivo de seguimiento)</t>
  </si>
  <si>
    <t>En el cuarto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</si>
  <si>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En razón a las diferentes actividades de cierre de gestión, se obtiene seguimiento hasta noviembre, de la cual no se logró realizar la "Capacitación de Reinducción Institucional realizada" (ver archivo de seguimiento).</t>
  </si>
  <si>
    <t>La Entidad evidencia los productos definidos y el contratista ha entregado parcialmente sus soportes. (Ver correos electrónicos, informes, registros fotográficos)</t>
  </si>
  <si>
    <t>Se evidenció este producto a satisfacción (ver informe final).
En cuanto al valor, se presentaron dos momentos de liberación de saldos de acuerdo con lo cobrado por el contratista y en atención a la diferencia sobre lo proyectado en el Plan Anual de Adquisiciones que inicialmente eran $20.000.000 (ver oficio generado).
La medición del clima organización, es un insumo importante para la Planeación Estratégica del Talento Humano de la vigencia 2020 que permite el mejoramiento continuo y generar mayor valor público.</t>
  </si>
  <si>
    <t>En el proceso de implementación del Sistema de Gestión de PQRSD CRM, mediante requerimiento tecnológico se solicitó a la DGTIC la implementación en la herramienta, del mecanismo que permita medir el tiempo de atención del usuario por el canal presencial, el cual permite conocer el tiempo que destina cada agente en la atención de los usuarios para tomar acciones de mejoramiento cuando se detecten tiempos superiores a los ANS establecidos de 12 minutos. De igual manera la herramienta permite que el ciudadano califique el servicio prestado en el canal presencial, para lo cual se adelantaron las pruebas y se evidención que el sistema envía un correo al usuario y allí le solicita diligenciar la encuesta, la cual es voluntaria. De otra parte, la DGTIC, viene desarrollando nuevas mejora a la herramienta que permitirá a la ADRES contar con un sistema de calificación en tiempo real. L anterior actividad en reemplazo de la adquisición de un digiturno para el canal presencial de la entidad</t>
  </si>
  <si>
    <t>Se incluyen los informes de supervisión de octubre y noviembre y el informe de diciembre se encuentra pendiente para adjuntarlo. Para este trimestre se suman los pagos realizados del trimestre por un valor de $133.998.336 Se adjuntan los informes de supervisión. Se realizaron 15.016 atenciones por el call center con un 95% orientaciones gestionadas con los niveles de sercio acordados en el Acuerdo Marco.</t>
  </si>
  <si>
    <t>No hay meta para este período</t>
  </si>
  <si>
    <t>Para este período  se socializó a todos los funcionarios en temas relacioneados con la oportunidad y calidad en las respuestas a las PQRSD, lenguaje claro, procesos y procedimientos y adecuado uso de la herramienta del CRM.</t>
  </si>
  <si>
    <t>Durante este período se participó en mesa de trabajo programada por el MSPS para tratar acciones a seguir en la implementación del proyecto del Minsalud "Modelo de Servicio al Ciudadano sector salud", proceso de co-creación del Modelo Integral de los Sistemas de Servicio al Ciudadano del Sector Salud. 20 de noviembre de 2019</t>
  </si>
  <si>
    <t xml:space="preserve">Con el fin de evaluar la calidad de las respuestas dadas a diferentes derechos de petición, se seleccionaron 15 PQRSD de SGD y 15 CRM y se pudo establecer que las mismas cumplen con los lineamientos básicos de respuesta en línea y se detectó que algunas pqrsd del canal virtual se estaban respondiendo sin firma del área y responsable, para lo cual se remitió comunicado a todos los funcionarios con el fin de acatar la normatividad que establece que toda respuesta a un derecho de petición debe contener nombre y dependencia que da respuesta. </t>
  </si>
  <si>
    <t xml:space="preserve">Elaboración informe trimestral de encuestas, el cual es socializado con la OAPCR con el fin de contar con herramientas para toma de decisiones y planeación de mejoramiento de los procesos de la entidad. Del total de usuarios que diligenciaron la encuesta (367), 217 calificaron el servicio como excelente y 50 como bueno, con lo que podemos concluir que el servicio se presta con calidad, oportunidad y buen trato. </t>
  </si>
  <si>
    <t>Se realizaron mejoras a la recepción de la entidad, en temas de iluminación, gigantográfía y logos de la entidad para una facil identificación al momento de acceder a las instalaciones de la ADRES . Es importante reslatar que se cuentan con Ascensores con sonido, nivel de altura de los botones pisos para personas con discapacidad, señalización, etc.).Lo anterior bajo ajustes razonables y entendiendo que la sede se encuentra en arrendamiento.</t>
  </si>
  <si>
    <t>Se realiza traslado al Municipio del Líbano Tolima atendiendo la invitación realizada por el Departamento Nacional de Planeación DNP a participar en la Feria de Servicio al Ciudadano programada para el 30 de noviembre, en la plaza central de este municipio. Las Ferias de Servicio al Ciudadano son espacios en los cuales el Programa Nacional de Servicio al Ciudadano (PNSC), del Departamento Nacional de Planeación (DNP), coordina la presencia de entidades del orden nacional y departamental en los municipios, para que por un día presten su oferta de trámites y servicios a la ciudadanía. Esta estrategia ha revolucionado los esquemas de articulación interinstitucional, en la medida en que numerosas entidades de los tres niveles de Gobierno se organizan y desplazan para brindarle a los ciudadanos de un territorio en particular, una oferta integral que les permite, en muchos casos, acceder a trámites y servicios inexistentes en la región y que para llevarlos a efecto deben incurrir en gastos de traslado hacia otras ciudades o hasta Bogotá.  Durante el evento se realizaron 25 atenciones a ciudadanos en los siguientes temas: 1. Consulta reporte BDUA:  19;2. Consulta BDEX: 3. Períodos Compensados:   3. De otra parte se brindó información a servidores públicos presentes en la feria, sobre las funciones de la entidad, sus trámites y servicios.Durante el evento se realizó un registro fotográfico, el cual se comparte con la oficina de comunicaciones de la entidad, que sirve para las campañas y notas informativas tanto de la ADRES como en la intranet.</t>
  </si>
  <si>
    <t>Se elaboró informe de Gestión de PQRSD III trimestre de 2019 y se publicó en la página web de la entidad</t>
  </si>
  <si>
    <t>En el cuarto trimestre se realizaron reuniones de autocontrol para los procedimientos de Gestión del Talento Humano con la participación del líder de proceso y los integrantes del mismo, evidenciado mediante actas y listados de asistencia.</t>
  </si>
  <si>
    <t>Se ha realizado las gestiones conforme la normatividad y el procedimiento actualizado (ver correos electrónicos)</t>
  </si>
  <si>
    <t>Se realizaron 12 nombramientos en el periodo (ver actos administrativos y que tambien reposan en  historias laborales físicas, las cuales custodia el Grupo Interno de la Gestión del Talento Humano).</t>
  </si>
  <si>
    <t>Se realizaron 12 posesiones en el periodo (ver actos administrativos y que tambien reposan en  historias laborales físicas, las cuales custodia el Grupo Interno de la Gestión del Talento Humano).</t>
  </si>
  <si>
    <t>Mediante requerimiento tecnológico se solicito a la DGTIC el desarrollo en la herramienta del CRM el mecanismo que permita al usuario determinar la manera en que rtealizará la PQRSD: El formulario de la página web debe contener una introducción que contenga: Apreciado ciudadano: Al diligenciar el formulario, tenga en cuenta lo siguiente: En cualquier caso su requerimiento puede realizarse de manera anónima o identificada. Si usted opta por presentar su comunicación en forma anónima, no será posible que reciba de manera directa respuesta por parte de este Ministerio. Los campos con (*) son obligatorios. *Protección de datos personales de los ciudadanos. El desarrollo se encuentra para ser implementado en el CRM en el mes de enero de 2020.</t>
  </si>
  <si>
    <t>En secuencia con el análisis del periodo pasado, se finalizó el proceso de formalización (ver correos electrónicos) y de emitió "Informe final - diciembre Contrato 69 de 2019"
Se logró cumplimiento a la normatividad y se divulgó a las partes interesadas a fin de tener conocimiento al "saber cómo actuar ante una emergencia"</t>
  </si>
  <si>
    <t>En el mes de diciembre finalizaron otras acciones relacionadas al Manual de Funciones (ver correos electrónicos). De las actualizaciones realizadas se generaron: RESOLUCIÓN 19643 DEL 10 DE JUNIO DE 2019 y RESOLUCIÓN 41756 DEL 28 DE NOVIEMBRE DE  2019.</t>
  </si>
  <si>
    <t>Se incluyo valor total y en el tercer trimestre en la actividad 11700-1-42, de acuerdo con la inclusión de la contratación respectiva en el Plan Anual de Adquisiciones.
Así mismo, se cambió el valor de las actividades 11700-1-25 y 11700-1-26 por solicitud de retiro de las lineas respectivas en el  Plan Anual de Adquisiciones.</t>
  </si>
  <si>
    <t>Edwin Darío Mora
Coordinador Grupo Interno de Gestión del Talento Humano</t>
  </si>
  <si>
    <t>En la carpeta compartida se encuentran las evidencias de los informes de redes sociales del trimestre, así como los informes contractuales del administador de medios digitales.</t>
  </si>
  <si>
    <t>Durante este periodo no se registraron avances al respecto, toda vez que la actividad se desarrolló en el tercer trimestre del año.</t>
  </si>
  <si>
    <t>Las evidencias de esta actividad se encuentran en la carpeta compartida.</t>
  </si>
  <si>
    <t>Durante este periodo se desarrollaron dichas actividades con líderes del sector. Las evidencias se encuentran en la carpeta compartida.</t>
  </si>
  <si>
    <t>En la carpeta compartida se encuentra el documento de la Política Institucional de Comunicación de la ADRES, así como el instructivo de imagen Institucional</t>
  </si>
  <si>
    <t>En la carpeta compartida se encuentra las evidencias de la actividad de pedagogía realizada en EVEDISA Operador Logístico sobre el flujo de los recursos.</t>
  </si>
  <si>
    <t xml:space="preserve">Durante el periodo se emitieron 5  boletines de comunicación interna, como parte de la estrategia de comunicación interna. Las evidencias se encuentran en la carpeta compartida. </t>
  </si>
  <si>
    <t>d</t>
  </si>
  <si>
    <t xml:space="preserve">Después de adelantar el proceso de conciliación con el área de contabilidad, se logró determinar que no existe soporte sobre la depuración realizada mediante Resolución 249 de 2011, por lo que se determinó que realmente eran susceptibles de depuración 231.828 reclamaciones, entre la gestión realizada se solicitó al Ministerio de Salud y Protección Social la Resolución 249 de 2011 con los respectivos soportes, pero en los documentos remitido se hace referencia a un CD que contiene las reclamaciones que fueron depuradas, sin que dicho soporte fuera remitido, por lo se procedió a recomendar en el Comité de Sostenibilidad la depuración de 231.828, sobre las cuales se están desarrollando las fichas técnicas para proceder con la respectiva depuración. Esta actividad se encuentra asociada al contrato de JAIRO WILLIAM GUERRERO MALAGÓN por lo que se anexan los informes de gestión del contratista. </t>
  </si>
  <si>
    <t xml:space="preserve">DURANTE EL TRIMESTE SE LLEVARON A CABO TODOS LOS VIERNES REUNIONES DE AUTOCONTROL SEGÚN SE SOPORTA EN ARCHIVOS ADJUNTOS, PARA UN TOTAL DE 7 REUNIONES, DONDE SE EVIDENCIA AGENDAMIENTO POR PARTE DE LA JEFATURA DE LA OFICINA ASESORA JURÍDICA. </t>
  </si>
  <si>
    <t>Documentos del SG-SST actualizados</t>
  </si>
  <si>
    <t>Los productos evidenciados  (Ver publicaciones mediante Sintonía ADRES) se orientan a lo detallado en las actividades sobre "Dar cumplimiento al Decreto 1072 de 2015, relacionado con el programa de seguridad y salud en el trabajo", sin embargo, por como se definió el producto de "Capacitación de salud pública realizada",  no da a lugar, por lo cual se debió solicitar modificación al plan de acción para aclarar que, en el transcurso del año que decidió realizar campañas más que una capacitación</t>
  </si>
  <si>
    <t xml:space="preserve">SE PROCEDE AL CARGUE DEL SOPORTE MEDIANTE EL CUAL SE REMITIÓ LA PROVISIÓN CONTABLE AL ÁREA FINANCIERA. 
</t>
  </si>
  <si>
    <t>Durante el IV trimestre de 2019, la DGRFS elabora oficialmente los tres manuales de : Riesgo de Crédito, Liquidez y de Mercado, los mismos son enviados a la Oficina Asesora de Planeacion para su validacion metodológica. Las evidencias se encuentran  cargadas en:  carpeta compartida por la OAPCR Manuales de Riesgo.</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</si>
  <si>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</si>
  <si>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Durante el IV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Observación: se encuentra pendiente el cargue de la evidencia de la ejecucion presupuestal correspondiente al mes de diciembre dado qye a la fecha se encuentra pendiente el cierre financiero, tan pronto se cuente con la evidencia se adjuntara a la carpeta corpartida y se publicara las ejecuciones en la ruta antes mencionada. Como evidencia se anexa a la carpeta compartida por la OAPCR las ejecuciones presupuestales del IV Trimestre de 2019, oficios remisorios de las EP al Ministerio de Hacienda y evidencia en word pantallazo publicación EP en la página de la ADRES</t>
  </si>
  <si>
    <t xml:space="preserve">En el tercer trimestre del 2019 se alcanzo un porcentaje de cumplimiento del Plan de Acción y Plan Estratégico Institucional del 84%, y un avance acumulado del 66%. A continuación, se presenta el resumen de cumplimiento de cada uno de los planes institucionales que conforman el Plan de Acción, para el tercer trimestre es el siguiente:
Se destaca la gestión realizada por la ADRES en el el desarrollo de las actividades asociadas al Plan de Seguridad y Privaci-dad de la Información, Plan de Tratamiento de Riesgos de Seguridad y Privacidad de la In-formación, el Plan Institucional de Archivos y las actividades institucionales que conforman el Plan de Acción de la Entidad, con resultados sobresalientes en sus indicadores de gestión. Así mismo, se presentan resultados satisfactorios en el Plan Anticorrupción y de Atención al Ciudadano, el Plan de Trabajo de Seguridad y Salud en el Trabajo, y el Plan de Adquisiciones. 
Los resultados obtenidos en los planes mencionados anteriormente impactan positivamente el cumplimiento y avance del objetivo estratégico: “Garantizar la adecuación institucional me-diante actividades transversales que complementen y sustenten el desempeño de los proce-sos misionales y estratégicos, así como el seguimiento continuo al cumplimiento de los objeti-vos de la Entidad”, cuyos resultados se presentan en la siguiente tabla.
De otro lado, el resultado del Plan Institucional de Capacitación se debe a la falta de ejecu-ción de las capacitaciones cuya consecución es de forma gratuita y depende de la respuesta a las gestiones que el Grupo Interno de Gestión de Talento Humano ha desarrollado con el propósito de conseguir las capacitaciones con estas características. Adicionalmente, se iden-tifican oportunidades de mejora para realizar la reinducción en el cuarto trimestre.
Con respecto al Plan de Bienestar e Incentivos, el Grupo Interno de Gestión de Talento Humano ha establecido acciones de mejoramiento para cumplir con las actividades previstas en lo que queda del año, entre ellas, la medición de clima, cuya contratación se está adelantan-do.
La ejecución del Plan de vacantes se ha visto impactada por las solicitudes de actualización del Manual de Funciones de parte de las áreas misionales, que ha retrasado la solicitud de apertura de la OPEC a la Comisión Nacional del Servicio Civil, por parte de la Dirección Ad-ministrativa y Financiera, y a su vez la actualización de la OPEC en el aplicativo SIMO.
Las situaciones descritas anteriormente impactan significativamente la ejecución del Plan Estratégico de Gestión del Talento Humano, el cual grupa éstos y los demás planes del resor-te del Grupo Interno de Gestión del Talento Humano. 
El Plan Estratégico de Tecnologías de la Información y las Comunicaciones no tenía metas previstas para el III trimestre.
La gestión y resultados de las áreas misionales de la ADRES impactan en el cumplimiento sobresaliente y el avance de los objetivos estratégicos relacionados con la calidad y oportunidad del aseguramiento y de las prestaciones excepcionales, con la optimización de los procesos de  recaudo, administración y pago de los recursos y con la gestión y el análisis de la información de la prescripción, suministro, de recobros, reclamaciones y del aseguramiento en salud, para contribuir con la adopción de mecanismos de control y la formulación de políticas públicas.
</t>
  </si>
  <si>
    <t>Se deberá dar continuidad en las actividades que le competen al Grupo Interno de la Gestión del Talento Humano. (ver correo electrónico).
El 17 de enero de 2020 se aclara que:
i) Antes de la publicación del Acuerdo 20191000008736 del 6 de septiembre de 2019 de la Comisión Nacional del Servicio Civil (CNSC), la ADRES realizó un reporte inicial de la OPEC en el año 2018 para lo cual se tuvo en cuenta el Manual de Funciones con Resolución 022 del 12 de enero de 2018 vigente a la fecha del reporte, el mismo fue enviado a la CNCS mediante oficio con radicado No. 0000017203 del 3 de septiembre de 2018 con el anexo que genera el Sistema de Información (SIMO) dispuesto para tal fin y el respectivo Manual.
ii) las evidencias reposan en el Grupo Interno de la Gestión del Talento Humano</t>
  </si>
  <si>
    <t>En el en el PAA se tenían previstas tres (3) líneas para adelantar bajo la modalidad de Licitación Pública, de las cuales únicamente se adjudicó la licitación ADRES-LP-001-2019 con el siguiente objeto contractual: “Contratar el programa de seguros de la entidad”._x000D_
Se precisa que la variable «# procesos licitatorios previstos para la vigencia 2019» hace referencia a aquellos procesos licitatorios que llegan a la etapa del proceso denominada «Expedición y publicación acto administrativo de apertura del proceso de selección». No obstante, lo anterior, se aclara que si bien es cierto que en la - Descripción de la Actividad, del Plan de Acción se estableció: “Convocar a las Veedurías Ciudadanas para que participen el proceso de licitación pública”,  y que solamente se adelantó un proceso licitatorio,  evidenciándose la falta de dos (2) resoluciones también lo es que, la entidad en los doce (12) procesos precontractuales adelantados bajo las modalidades de Concurso de Méritos y Selección Abreviada, estableció en el Acto Administrativo de Apertura de los mismos, la convocatoria a las Veedurías Ciudadanas, dando cumplimiento a  lo establecido en el  artículo 66 de la Ley 80 de 1993 y  el artículo 2.2.1.1.2.1.5 del Decreto 1082 de 2015.</t>
  </si>
  <si>
    <t xml:space="preserve">Se toman como referencias las versiones inicial y final del PAA para el periodo a reportar. Al finalizar el trimestre la vigencia se tienen 167 líneas de las cuales se vincularon 154 líneas a contratos suscrito, 2 con procesos en curso, 3 procesos desiertos, 2 con procesos en proyecto de pliego de condiciones y 6 líneas canceladas, como soporte de esto se carga copia de los PAA mencionados descargados de la página de Colombia Compra Eficiente.
En el entendido que para las 167 líneas se agotó la etapa precontractual, el VALOR ASIGNADO PARA EL DESARROLLO DE LA ACTIVIDAD es de un 100%, cumpliendo de manera absoluta con el indicador. </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</si>
  <si>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t>
    </r>
  </si>
  <si>
    <r>
      <rPr>
        <b/>
        <sz val="10"/>
        <rFont val="Verdana"/>
        <family val="2"/>
      </rPr>
      <t xml:space="preserve">Nota: </t>
    </r>
    <r>
      <rPr>
        <sz val="10"/>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t>
    </r>
  </si>
  <si>
    <r>
      <t xml:space="preserve">El siguiente es el resultado cualitativo logrado en segundo trimestre, de conformidad con lo reportado por cada una de las dependencias así:
</t>
    </r>
    <r>
      <rPr>
        <b/>
        <sz val="9"/>
        <color theme="1"/>
        <rFont val="Verdana"/>
        <family val="2"/>
      </rPr>
      <t xml:space="preserve">Dirección General - Comunicaciones.
</t>
    </r>
    <r>
      <rPr>
        <sz val="9"/>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9"/>
        <color theme="1"/>
        <rFont val="Verdana"/>
        <family val="2"/>
      </rPr>
      <t xml:space="preserve">Oficina de Control Interno.
</t>
    </r>
    <r>
      <rPr>
        <sz val="9"/>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9"/>
        <color theme="1"/>
        <rFont val="Verdana"/>
        <family val="2"/>
      </rPr>
      <t>Dirección de Gestión de Tecnologías de la Información y la Comunicación.</t>
    </r>
    <r>
      <rPr>
        <sz val="9"/>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9"/>
        <color theme="1"/>
        <rFont val="Verdana"/>
        <family val="2"/>
      </rPr>
      <t>Oficina Asesora Jurídica.</t>
    </r>
    <r>
      <rPr>
        <sz val="9"/>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9"/>
        <color theme="1"/>
        <rFont val="Verdana"/>
        <family val="2"/>
      </rPr>
      <t xml:space="preserve">Dirección Administrativa y Financiera.
</t>
    </r>
    <r>
      <rPr>
        <sz val="9"/>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9"/>
        <color theme="1"/>
        <rFont val="Verdana"/>
        <family val="2"/>
      </rPr>
      <t>Dirección de Liquidaciones y Garantías.</t>
    </r>
    <r>
      <rPr>
        <sz val="9"/>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9"/>
        <color theme="1"/>
        <rFont val="Verdana"/>
        <family val="2"/>
      </rPr>
      <t>Dirección de Otras Prestaciones.</t>
    </r>
    <r>
      <rPr>
        <sz val="9"/>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9"/>
        <color theme="1"/>
        <rFont val="Verdana"/>
        <family val="2"/>
      </rPr>
      <t xml:space="preserve">Oficina Asesora de Planeación y Control de Riesgos.
</t>
    </r>
    <r>
      <rPr>
        <sz val="9"/>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9"/>
        <color theme="1"/>
        <rFont val="Verdana"/>
        <family val="2"/>
      </rPr>
      <t>Dirección de Gestión de Recursos Financieros de la Salud.</t>
    </r>
    <r>
      <rPr>
        <sz val="9"/>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9"/>
        <color theme="1"/>
        <rFont val="Verdana"/>
        <family val="2"/>
      </rPr>
      <t xml:space="preserve">CONCLUSIONES.
</t>
    </r>
    <r>
      <rPr>
        <sz val="9"/>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</si>
  <si>
    <t>Entre el trimestre de Octubre a diciembre de 2019, se registraron 132.021 partidas recaudadas, de las cuales se identificaron 132.005 durante el trimestre. La gestión en la identificación de las partidas recaudadas se efectúa aplicando las actividades contenidas en el Manual de Gestión de Recaudo y Fuentes de Financiación; lo cual ha permitido tener la identificación en el 99,99% en el trimestre. En este contexto, se anexa a la carpeta compartida por la OAPCR, la relación de registros de recaudos identificados Vs. Total de Registros recaudos en el IV Trimestre.</t>
  </si>
  <si>
    <t>En el IV Trimestre de2019 se recibieron Ordenes de Pago por parte del Grupo de Gestión de Contable, por un valor de $10,499,516,569,004 de las cuales de efectúa un total de Giros de 185,178 (cantidad evidenciada en el aplicativo ERP) por valor de $10,474,095,936,062 Se anexa a la carpeta compartida por la OAPCR, la relación de de pagos efectuados durante el IV Trimestre de 2019.</t>
  </si>
  <si>
    <t>En el IV trimestre se generaron 62 Boletines Diarios: 22 en octubre, 19 en noviembre y 21 en diciembre de 2019; donde se registran los recursos por transacciones bancarias, se anexa a la carpeta compartida por la OAPCR, la relación de boletines diarios realizados durante el IV Trimestre de 2019.</t>
  </si>
  <si>
    <t>"Durante el IV trimestre de 2019, se realizaron los respectivos Estados Financieros de la URA. Se encuentra pendiente la publicación en la página de la ADRES en el link https://www.adres.gov.co/La-Entidad/Información-financiera/URA/Estados-financieros, y se procederá a anexar en la carpeta compartida por la OAPCR los Estados Financieros del IV Trimestre de 2019 y evidencia en word pantallazo publicación EF en la página de la ADRES."</t>
  </si>
  <si>
    <t>La ADRES alcanzó un cumplimiento del 86% en el Plan Estratégico Institucional de la vigencia 2019. Este resultado no contiene los avances de la ejecución de los productos generados por la Dirección de Gestión de Recursos Financieros de la Salud en el IV trimestre, que impactan el objetivo estratégico “Optimizar los procesos de recaudo, administración y pago de recursos” por cuanto éstos no han sido reportados en el plan de acción debido al cierre presupuestal. En la medida en que estos datos sean reportados, los resultados acumulados del objetivo, del Plan de Acción Integrado y del Plan Estratégico Institucional tenderán a aumentar. 
La gestión adelantada por la Dirección de Liquidaciones y Garantías - DLG contribuyó de manera importante al cumplimiento en un 100% del objetivo estratégico “Lograr calidad y oportunidad en los procesos de reconocimiento del aseguramiento” al finalizar la vigencia 2019, con la ejecución de productos tales como: los procesos de saneamiento de aportes; los procesos de compensación; los procesos de liquidación y reconocimiento de la UPC de los Afiliados del Régimen Subsidiado; los procesos de liquidación y reconocimiento de licencias de maternidad y paternidad; Ios informes de auditoría de los procesos de liquidación y reconocimiento de UPC de los afiliados al régimen contributivo y subsidiado; el trámite de solicitudes de prestaciones económicas REX y devolución de aportes; la verificación y ajuste de los controles de los procesos de liquidación y reconocimiento de UPC y de prestaciones económicas; y la optimización de cuatro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 Al mismo tiempo, la aplicación de acciones de mejora sugeridas por la Oficina Asesora de Planeación y Control de Riesgos – OAPCR aportó al cumplimiento de dicho objetivo.
El compromiso de la DLG en la generación de los informes de análisis sobre procesos o tecnologías reconocidas por la ADRES, refleja el cumplimiento al 100% del objetivo estratégico: “Propiciar la gestión y el análisis de la información de la prescripción, suministro, de recobros, reclamaciones y del aseguramiento en salud, para contribuir con la adopción de mecanismos de control y la formulación de políticas públicas”.
Se destaca la labor de la Dirección de Otras Prestaciones - DOP en la ejecución de las actividades relacionadas con el objetivo estratégico: “Lograr calidad y oportunidad en los procesos de reconocimiento de prestaciones excepcionales”, alcanzando el 100% en los productos: bitácoras sobre el seguimiento a los paquetes de recobros y reclamaciones generadas; comunicaciones de ordenación del gasto resultantes del proceso de giro previo y de los paquetes de reclamaciones con trámite de auditoria culminado; la publicación del giro por recobros y reclamaciones; los apoyos técnicos resueltos; y la optimización y sistematización del proceso de auditoría integral (reingeniería de recobros), los cuales aportaron al cumplimiento del mencionado objetivo en el 89% al finalizar la vigencia. Así mismo, la DLG contribuyó en el logro de este objetivo con los siguientes productos: la estructuración del modelo operativo del saneamiento definitivo; dos proyectos de decreto y resolución del Ministerio de Salud y Protección Social - MSPS para la reglamentación del saneamiento definitivo con observaciones y/o aportes por parte de ADRES; el documento con insumos, recomendaciones, observaciones o  propuestas metodológicas frente a la implementación del mecanismo de techos  o presupuesto máximos; y un proyecto de resolución de la ADRES para adoptar los lineamientos y específicas técnicas y operativas para la implementación del mecanismo de techos o presupuesto máximos.
Durante el primer y cuarto trimestre del año 2019 no se recibieron por parte de las firmas auditora e interventora paquetes de recobros, por lo que no le fue posible a la DOP realizar la validación de los precierres de auditoria a paquetes de recobros. Sin embargo, la ADRES ha adelantado las labores de la reingeniería de recobros y al 31 de diciembre efectuó el cierre de un paquete del rezago.
Se destaca la gestión realizada en toda la vigencia por parte de la Dirección de Gestión de Recursos Financieros de las Salud, la cual impacta muy positivamente en el cumplimiento al 100% del objetivo estratégico “Optimizar los procesos de recaudo, administración y pago de recursos”, con la ejecución de productos tales como: informes de ejecución presupuestal publicados, identificación de partidas de recaudo, ordenes de giro tramitadas, informes de portafolio realizados y Estados financieros de la URA reportados.
La Dirección de Tecnologías de la Información y las Comunicaciones – DGTIC contribuyó de manera importante en el cumplimiento del objetivo estratégico: “Garantizar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en un 96% en la vigencia , con la consecución de los siguientes productos:  corrección de registros en la Base de Datos Única de Afiliados - BDUA con respecto a los registros notificados en auditorias preventivas; depuración de registros en la BDUA con respecto a los registros notificados en auditorias correctivas; atención de PQRSD de la BDUA  en términos de ley; y la atención de requerimientos de aplicaciones misionales.
La gestión adelantada por la Oficina Asesora Jurídica – OAJ favoreció el cumplimiento del objetivo estratégico: “Proteger, gestionar y defender los recursos del Sistema General de Seguridad Social en SALUD - SGSSS” en el 76% con la generación de productos tales como:  la suscripción de un convenio con la RNEC y acercamientos con la rama judicial que permiten mejorar los canales de comunicación con entidades del gobierno nacional para que se facilite el entendimiento con éstas y se mejore la calidad de información requerida y solicitada; el registro de los pagos en el SII PRE de procesos de repetición; la identificación de reclamaciones depurables y las perfiladas como de difícil recaudo; la actualización de las bases de información  de cobro coactivo; la gestión de las reclamaciones de cobro coactivo gestionadas; los conceptos jurídicos generados; la liquidación de las sentencias condenatorias; la representación judicial en procesos penales; el registro de procesos en EKOGUI; las demandas contestadas oportunamente; las respuestas a solicitudes de pruebas en términos; los recursos de los actos administrativos interpuestos por Colpensiones; y la atención a las solicitudes de informes derivadas de acciones constitucionales.
El objetivo estratégico: “Garantizar la adecuación institucional mediante actividades transversales que complementen y sustenten el desempeño de los procesos misionales y estratégicos, así como el seguimiento continuo al cumplimiento de los objetivos de la Entidad” presentó un avance del 86% en la vigencia 2019. La contribución de cada una de las dependencias de la ADRES en la generación de productos para el cumplimiento de este objetivo fue la siguiente:
La Dirección Administrativa y Financiera – DAF se destacó en la ejecución al 100% de la actualización del Manual de Política de Servicio al Ciudadano; el Plan Institucional de Archivos y el Plan de Bienestar e Incentivos Institucionales; así como la ejecución del Plan de Trabajo Anual en Seguridad y Salud en el Trabajo con resultados satisfactorios. Con el apoyo de la DGTIC se implementó el Sistema de gestión de PQRSD – CRM.
La consecución de capacitaciones de forma gratuita afectó el Plan Institucional de capacitaciones, toda vez que esto depende de variables externas que se salen del control de las gestiones que el Grupo Interno de Gestión de Talento Humano ha desarrollado con el propósito de conseguir las capacitaciones con estas características.
La audiencia pública de rendición de cuentas externa e interna realizadas, las actividades de relacionamiento con actores del sector, las jornadas pedagógicas con actores externos del sistema de salud sobre el flujo de recursos del SGSSS que es administrado por la ADRES; las estrategias de comunicación Interna y comunicación digital implementadas; y la política de comunicaciones aprobada son productos destacables con los que la Dirección General contribuyó de manera importante al cumplimiento del objetivo estratégico en mención.
La Oficina Asesora de Planeación y Control de Riesgos realizó un gran aporte a este objetivo con la implementación del Sistema de Administración de Riesgos de Lavado de Activos y Financiación del Terrorismo - SARLAFT, el Plan de Continuidad del Negocio, la construcción y aprobación del plan estratégico para las vigencias 2020 – 2023; la actualización y socialización de la Política de Administración de Riesgos Integrados, y en línea con lo anterior la actualización y publicación del Mapa de Riesgos de la Entidad. Con el apoyo de esta oficina, la Dirección de Gestión de Recursos Financieros de la Salud – DGRFS realizó la implementación de los Sistemas de Administración de Riesgos Financieros: Mercado, Liquidez y Crédito.
La DGTIC se destacó por el cumplimiento al 100% en la construcción del Plan Estratégico de Tecnologías de la Información; la actualización de la Política de Seguridad y Privacidad de la Información, la elaboración del inventario y registro de activos de información, y otros productos previstos en el Plan de Seguridad y Privacidad de la Información y en el Plan de Tratamiento de Riesgos de Seguridad y Privacidad de la Información.
La Oficina de Control Interno apoyó el avance de este objetivo con la generación y socialización de boletines de autocontrol, que han coadyuvado a que todas las dependencias de la ADRES realicen de manera sistemática el autocontrol de sus procesos, riesgos, indicadores, y otros elementos que hacen parte del Sistema de Gestión Institucional.
El resultado de la ejecución presupuestal de los productos vinculados al Plan de Acción Integrado de la vigencia 2019, se debió principalmente a que no se aprobaron pagos del contrato de auditoria integral a los recobros y las reclamaciones ante la falta de resultados por parte del contratista. Además, hubo recursos que no se ejecutaron conforme a lo planeado para los siguientes productos: el apoyo en soporte, desarrollo, mantenimiento e integración de aplicativos misionales para la optimización de procesos, los recursos de casación, y otros productos relacionados con la defensa jurídica en los que se observa que esta situación obedece a que la ejecución de éstos depende de  procesos que se encuentren en curso, los cuales pueden tener plazos, condiciones y cuantías de pago muy variables. Otro aspecto que afectó la ejecución de los recursos fue la imposibilidad de suscribir un acto de incorporación con la Central de Inversiones S.A - CISA para el pago de la cartera acordada sobre las resoluciones ejecutoriadas con más de 180 días y por demoras en la entrega de la oferta que debía realizar dicha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</si>
</sst>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 numFmtId="177" formatCode="&quot;$&quot;\ #,##0"/>
    <numFmt numFmtId="178" formatCode="_-&quot;$&quot;\ * #,##0_-;\-&quot;$&quot;\ * #,##0_-;_-&quot;$&quot;\ * &quot;-&quot;??_-;_-@_-"/>
    <numFmt numFmtId="179" formatCode="0.000%"/>
  </numFmts>
  <fonts count="92"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b/>
      <sz val="11"/>
      <color rgb="FFFF0000"/>
      <name val="Calibri"/>
      <family val="2"/>
      <scheme val="minor"/>
    </font>
    <font>
      <b/>
      <sz val="11"/>
      <name val="Calibri"/>
      <family val="2"/>
      <scheme val="minor"/>
    </font>
    <font>
      <sz val="12"/>
      <name val="Calibri"/>
      <family val="2"/>
      <scheme val="minor"/>
    </font>
    <font>
      <sz val="10"/>
      <color theme="4"/>
      <name val="Verdana"/>
      <family val="2"/>
    </font>
    <font>
      <u/>
      <sz val="10"/>
      <color theme="4"/>
      <name val="Verdana"/>
      <family val="2"/>
    </font>
    <font>
      <i/>
      <u/>
      <sz val="9"/>
      <name val="Verdana"/>
      <family val="2"/>
    </font>
    <font>
      <sz val="11"/>
      <color theme="0"/>
      <name val="Arial"/>
      <family val="2"/>
    </font>
    <font>
      <b/>
      <sz val="9"/>
      <color theme="1"/>
      <name val="Verdana"/>
      <family val="2"/>
    </font>
  </fonts>
  <fills count="23">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38">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xf numFmtId="44" fontId="1" fillId="0" borderId="0" applyFont="0" applyFill="0" applyBorder="0" applyAlignment="0" applyProtection="0"/>
  </cellStyleXfs>
  <cellXfs count="1670">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xf>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0" fontId="28" fillId="0" borderId="1" xfId="0" applyFont="1" applyFill="1" applyBorder="1" applyAlignment="1">
      <alignment horizontal="center"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0" fillId="0" borderId="39" xfId="0" applyBorder="1" applyAlignment="1">
      <alignment horizontal="center" vertical="center"/>
    </xf>
    <xf numFmtId="42" fontId="81" fillId="0" borderId="1" xfId="5" applyFont="1" applyFill="1" applyBorder="1" applyAlignment="1">
      <alignment horizontal="right" vertical="center"/>
    </xf>
    <xf numFmtId="0" fontId="81" fillId="0" borderId="1" xfId="0" applyFont="1" applyFill="1" applyBorder="1" applyAlignment="1">
      <alignment horizontal="right" vertical="center"/>
    </xf>
    <xf numFmtId="0" fontId="83" fillId="0" borderId="0" xfId="0" applyFont="1" applyFill="1"/>
    <xf numFmtId="0" fontId="55" fillId="0" borderId="0" xfId="0" applyNumberFormat="1" applyFont="1" applyBorder="1" applyAlignment="1">
      <alignment horizontal="center" vertical="center" wrapText="1"/>
    </xf>
    <xf numFmtId="42" fontId="81" fillId="0" borderId="1" xfId="5" applyFont="1" applyFill="1" applyBorder="1" applyAlignment="1">
      <alignment horizontal="right" vertical="center" wrapText="1"/>
    </xf>
    <xf numFmtId="0" fontId="20" fillId="20" borderId="1" xfId="0" applyFont="1" applyFill="1" applyBorder="1" applyAlignment="1">
      <alignment horizontal="justify"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0" fontId="20" fillId="20" borderId="0" xfId="0" applyFont="1" applyFill="1"/>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1" fontId="81" fillId="0" borderId="1" xfId="1"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1" fillId="0" borderId="0" xfId="1" applyNumberFormat="1" applyFont="1" applyFill="1" applyBorder="1" applyAlignment="1">
      <alignment horizontal="right" vertical="center"/>
    </xf>
    <xf numFmtId="42" fontId="83"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1"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1"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9" fontId="28" fillId="21"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0" borderId="18" xfId="0" applyFont="1" applyFill="1" applyBorder="1" applyAlignment="1">
      <alignment horizontal="justify" vertical="center" wrapText="1"/>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81" fillId="0" borderId="1"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174"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center" vertical="center" wrapText="1"/>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28" fillId="0" borderId="1" xfId="0" applyNumberFormat="1" applyFont="1" applyFill="1" applyBorder="1" applyAlignment="1">
      <alignment horizontal="justify" vertical="center" wrapText="1"/>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center"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28" fillId="0" borderId="25" xfId="0" applyFont="1" applyFill="1" applyBorder="1" applyAlignment="1">
      <alignment horizontal="center"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xf>
    <xf numFmtId="9" fontId="28" fillId="0" borderId="25" xfId="0" applyNumberFormat="1" applyFont="1" applyFill="1" applyBorder="1" applyAlignment="1">
      <alignment horizontal="right" vertical="center"/>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0" fillId="0" borderId="25" xfId="0" applyBorder="1" applyAlignment="1">
      <alignment vertical="center"/>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0"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1" applyNumberFormat="1" applyFont="1" applyFill="1" applyBorder="1" applyAlignment="1">
      <alignment horizontal="center"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1"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0" fontId="28" fillId="0" borderId="1" xfId="0" applyFont="1" applyFill="1" applyBorder="1" applyAlignment="1">
      <alignment horizontal="center"/>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28" fillId="0" borderId="18" xfId="0" applyFont="1" applyFill="1" applyBorder="1" applyAlignment="1">
      <alignment horizontal="center" vertical="center"/>
    </xf>
    <xf numFmtId="9" fontId="28" fillId="0" borderId="1" xfId="1" applyFont="1" applyFill="1" applyBorder="1" applyAlignment="1">
      <alignment horizontal="center" vertical="center"/>
    </xf>
    <xf numFmtId="42" fontId="28" fillId="0" borderId="1" xfId="5" applyFont="1" applyFill="1" applyBorder="1" applyAlignment="1">
      <alignment horizontal="right" wrapText="1"/>
    </xf>
    <xf numFmtId="42" fontId="28" fillId="0" borderId="1" xfId="5" applyFont="1" applyFill="1" applyBorder="1" applyAlignment="1">
      <alignment horizontal="righ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9" fontId="28" fillId="20" borderId="1" xfId="1" applyNumberFormat="1" applyFont="1" applyFill="1" applyBorder="1" applyAlignment="1">
      <alignment horizontal="right" vertical="center"/>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5" applyFont="1" applyFill="1" applyBorder="1" applyAlignment="1">
      <alignment horizontal="right" vertical="center"/>
    </xf>
    <xf numFmtId="0" fontId="28" fillId="0" borderId="1" xfId="0" applyFont="1" applyFill="1" applyBorder="1" applyAlignment="1">
      <alignment horizontal="justify"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42" fontId="35" fillId="0" borderId="1" xfId="5" applyFont="1" applyFill="1" applyBorder="1" applyAlignment="1">
      <alignment horizontal="right" vertical="center"/>
    </xf>
    <xf numFmtId="42" fontId="84" fillId="0" borderId="0" xfId="0" applyNumberFormat="1" applyFont="1" applyFill="1"/>
    <xf numFmtId="42" fontId="0" fillId="0" borderId="0" xfId="0" applyNumberFormat="1" applyFill="1"/>
    <xf numFmtId="9" fontId="0" fillId="0" borderId="0" xfId="1" applyFont="1" applyFill="1"/>
    <xf numFmtId="9" fontId="28" fillId="0" borderId="1" xfId="1" applyFont="1" applyFill="1" applyBorder="1" applyAlignment="1">
      <alignment horizontal="left" vertical="center" wrapText="1"/>
    </xf>
    <xf numFmtId="0" fontId="28" fillId="21" borderId="1" xfId="0" applyFont="1" applyFill="1" applyBorder="1" applyAlignment="1">
      <alignment horizontal="center" vertical="center" wrapText="1"/>
    </xf>
    <xf numFmtId="9" fontId="28" fillId="21" borderId="1" xfId="1" applyFont="1" applyFill="1" applyBorder="1" applyAlignment="1">
      <alignment horizontal="right" vertical="center"/>
    </xf>
    <xf numFmtId="9" fontId="28" fillId="21" borderId="1" xfId="1" applyNumberFormat="1" applyFont="1" applyFill="1" applyBorder="1" applyAlignment="1">
      <alignment horizontal="justify" vertical="center" wrapText="1"/>
    </xf>
    <xf numFmtId="0" fontId="75" fillId="0" borderId="25" xfId="0" applyFont="1" applyBorder="1" applyAlignment="1">
      <alignment vertical="center"/>
    </xf>
    <xf numFmtId="42" fontId="75" fillId="0" borderId="25" xfId="5" applyFont="1" applyFill="1" applyBorder="1" applyAlignment="1">
      <alignment vertical="center"/>
    </xf>
    <xf numFmtId="0" fontId="28" fillId="20" borderId="1" xfId="0" applyNumberFormat="1" applyFont="1" applyFill="1" applyBorder="1" applyAlignment="1">
      <alignment horizontal="right" vertical="center"/>
    </xf>
    <xf numFmtId="1" fontId="28" fillId="0" borderId="25" xfId="0" applyNumberFormat="1" applyFont="1" applyFill="1" applyBorder="1" applyAlignment="1">
      <alignment horizontal="right" vertical="center"/>
    </xf>
    <xf numFmtId="1" fontId="28" fillId="0" borderId="25"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85" fillId="0" borderId="1" xfId="0" applyFont="1" applyBorder="1" applyAlignment="1">
      <alignment horizontal="justify" vertical="center"/>
    </xf>
    <xf numFmtId="167" fontId="28" fillId="0" borderId="1" xfId="3" applyNumberFormat="1" applyFont="1" applyFill="1" applyBorder="1" applyAlignment="1">
      <alignment horizontal="right" vertical="center"/>
    </xf>
    <xf numFmtId="167" fontId="28" fillId="0" borderId="1" xfId="3" applyNumberFormat="1" applyFont="1" applyFill="1" applyBorder="1" applyAlignment="1">
      <alignment horizontal="center" vertical="center"/>
    </xf>
    <xf numFmtId="0" fontId="75" fillId="0" borderId="1" xfId="0" applyFont="1" applyFill="1" applyBorder="1"/>
    <xf numFmtId="0" fontId="75" fillId="0" borderId="1" xfId="0" applyFont="1" applyBorder="1"/>
    <xf numFmtId="0" fontId="75" fillId="0" borderId="1" xfId="0" applyFont="1" applyBorder="1" applyAlignment="1">
      <alignment vertical="center"/>
    </xf>
    <xf numFmtId="10" fontId="28" fillId="0" borderId="1" xfId="3"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9" fontId="28" fillId="0" borderId="1" xfId="1" applyNumberFormat="1" applyFont="1" applyFill="1" applyBorder="1" applyAlignment="1">
      <alignment wrapText="1"/>
    </xf>
    <xf numFmtId="0" fontId="28" fillId="0" borderId="25" xfId="0" applyFont="1" applyFill="1" applyBorder="1" applyAlignment="1">
      <alignment horizontal="right" vertical="center" wrapText="1"/>
    </xf>
    <xf numFmtId="9" fontId="28" fillId="0" borderId="25" xfId="1" applyFont="1" applyFill="1" applyBorder="1" applyAlignment="1">
      <alignment horizontal="justify" vertical="center" wrapText="1"/>
    </xf>
    <xf numFmtId="42" fontId="28" fillId="0" borderId="25" xfId="1" applyNumberFormat="1" applyFont="1" applyFill="1" applyBorder="1" applyAlignment="1">
      <alignment horizontal="right" vertical="center"/>
    </xf>
    <xf numFmtId="0" fontId="28" fillId="0" borderId="25" xfId="0" applyFont="1" applyBorder="1" applyAlignment="1">
      <alignment horizontal="right"/>
    </xf>
    <xf numFmtId="9" fontId="28" fillId="0" borderId="25" xfId="1" applyFont="1" applyBorder="1" applyAlignment="1">
      <alignment horizontal="right" vertical="center"/>
    </xf>
    <xf numFmtId="9" fontId="28" fillId="0" borderId="25" xfId="1" applyFont="1" applyBorder="1" applyAlignment="1">
      <alignment horizontal="justify" vertical="center"/>
    </xf>
    <xf numFmtId="0" fontId="28" fillId="0" borderId="0" xfId="0" applyFont="1" applyFill="1" applyAlignment="1">
      <alignment horizontal="center"/>
    </xf>
    <xf numFmtId="0" fontId="28" fillId="0" borderId="0" xfId="0" applyFont="1"/>
    <xf numFmtId="42" fontId="35" fillId="0" borderId="0" xfId="0" applyNumberFormat="1" applyFont="1"/>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8" xfId="0" applyFont="1" applyBorder="1" applyAlignment="1">
      <alignment horizontal="center" vertical="center" wrapText="1"/>
    </xf>
    <xf numFmtId="0" fontId="28" fillId="0" borderId="11"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4" xfId="0" applyFont="1" applyFill="1" applyBorder="1" applyAlignment="1">
      <alignment horizontal="center" vertical="center"/>
    </xf>
    <xf numFmtId="1" fontId="28" fillId="0" borderId="4" xfId="0" applyNumberFormat="1" applyFont="1" applyFill="1" applyBorder="1" applyAlignment="1">
      <alignment horizontal="right" vertical="center"/>
    </xf>
    <xf numFmtId="0" fontId="28" fillId="0" borderId="4" xfId="0" applyFont="1" applyFill="1" applyBorder="1" applyAlignment="1">
      <alignment horizontal="justify" vertical="center"/>
    </xf>
    <xf numFmtId="42" fontId="28" fillId="0" borderId="4" xfId="5" applyFont="1" applyFill="1" applyBorder="1" applyAlignment="1">
      <alignment horizontal="right" vertical="center"/>
    </xf>
    <xf numFmtId="9" fontId="28" fillId="0" borderId="4" xfId="1" applyFont="1" applyFill="1" applyBorder="1" applyAlignment="1">
      <alignment horizontal="right" vertical="center"/>
    </xf>
    <xf numFmtId="42" fontId="28" fillId="0" borderId="4" xfId="0" applyNumberFormat="1" applyFont="1" applyFill="1" applyBorder="1" applyAlignment="1">
      <alignment horizontal="right" vertical="center"/>
    </xf>
    <xf numFmtId="1" fontId="28" fillId="0" borderId="4" xfId="1" applyNumberFormat="1" applyFont="1" applyFill="1" applyBorder="1" applyAlignment="1">
      <alignment horizontal="right" vertical="center"/>
    </xf>
    <xf numFmtId="0" fontId="28" fillId="0" borderId="4" xfId="0" applyFont="1" applyBorder="1" applyAlignment="1">
      <alignment horizontal="center" vertical="center"/>
    </xf>
    <xf numFmtId="42" fontId="28" fillId="0" borderId="4"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4" xfId="1" applyFont="1" applyBorder="1" applyAlignment="1">
      <alignment horizontal="left" vertical="center" wrapText="1"/>
    </xf>
    <xf numFmtId="174" fontId="28" fillId="0" borderId="4" xfId="0" applyNumberFormat="1" applyFont="1" applyFill="1" applyBorder="1" applyAlignment="1">
      <alignment horizontal="right" vertical="center"/>
    </xf>
    <xf numFmtId="9" fontId="28" fillId="0" borderId="4" xfId="1" applyFont="1" applyBorder="1" applyAlignment="1">
      <alignment horizontal="justify" vertical="center" wrapText="1"/>
    </xf>
    <xf numFmtId="9" fontId="28" fillId="0" borderId="4" xfId="0" applyNumberFormat="1" applyFont="1" applyFill="1" applyBorder="1" applyAlignment="1">
      <alignment horizontal="right" vertical="center"/>
    </xf>
    <xf numFmtId="9" fontId="28" fillId="15" borderId="4" xfId="1" applyNumberFormat="1" applyFont="1" applyFill="1" applyBorder="1" applyAlignment="1">
      <alignment horizontal="right" vertical="center" wrapText="1"/>
    </xf>
    <xf numFmtId="9" fontId="28" fillId="15" borderId="12" xfId="1" applyNumberFormat="1" applyFont="1" applyFill="1" applyBorder="1" applyAlignment="1">
      <alignment horizontal="right" vertical="center" wrapText="1"/>
    </xf>
    <xf numFmtId="14" fontId="20" fillId="0" borderId="1" xfId="0" applyNumberFormat="1" applyFont="1" applyBorder="1" applyAlignment="1">
      <alignment horizontal="center" vertical="center"/>
    </xf>
    <xf numFmtId="9" fontId="81"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21" borderId="1" xfId="1" applyNumberFormat="1" applyFont="1" applyFill="1" applyBorder="1" applyAlignment="1">
      <alignment horizontal="right" vertical="center"/>
    </xf>
    <xf numFmtId="0" fontId="44" fillId="0" borderId="4" xfId="0" applyFont="1" applyFill="1" applyBorder="1" applyAlignment="1">
      <alignment horizontal="center" vertical="center" wrapText="1"/>
    </xf>
    <xf numFmtId="0" fontId="44" fillId="0" borderId="1" xfId="0" applyFont="1" applyBorder="1" applyAlignment="1">
      <alignment horizontal="justify" vertical="center" wrapText="1"/>
    </xf>
    <xf numFmtId="0" fontId="28" fillId="0" borderId="1" xfId="0" applyFont="1" applyFill="1" applyBorder="1" applyAlignment="1">
      <alignment horizontal="center" vertical="center"/>
    </xf>
    <xf numFmtId="42" fontId="28" fillId="0" borderId="1" xfId="5" applyFont="1" applyFill="1" applyBorder="1" applyAlignment="1">
      <alignment horizontal="right" vertical="center"/>
    </xf>
    <xf numFmtId="9" fontId="28" fillId="0" borderId="1" xfId="0" applyNumberFormat="1" applyFont="1" applyFill="1" applyBorder="1" applyAlignment="1">
      <alignment horizontal="center"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center" vertical="center"/>
    </xf>
    <xf numFmtId="42" fontId="28" fillId="0" borderId="1" xfId="5" applyFont="1" applyBorder="1" applyAlignment="1">
      <alignment horizontal="right" vertical="center"/>
    </xf>
    <xf numFmtId="9" fontId="28" fillId="0" borderId="18" xfId="1" applyNumberFormat="1" applyFont="1" applyFill="1" applyBorder="1" applyAlignment="1">
      <alignment horizontal="left"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74" fillId="13" borderId="62"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1" applyNumberFormat="1" applyFont="1" applyFill="1" applyBorder="1" applyAlignment="1">
      <alignment horizontal="right" vertical="center"/>
    </xf>
    <xf numFmtId="42" fontId="28" fillId="20" borderId="1" xfId="5" applyFont="1" applyFill="1" applyBorder="1" applyAlignment="1">
      <alignment horizontal="right" vertical="center"/>
    </xf>
    <xf numFmtId="0" fontId="28" fillId="20" borderId="1" xfId="0" applyFont="1" applyFill="1" applyBorder="1" applyAlignment="1">
      <alignment horizontal="right" vertical="center"/>
    </xf>
    <xf numFmtId="0"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1"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58" xfId="1" applyFont="1" applyFill="1" applyBorder="1" applyAlignment="1">
      <alignment horizontal="right" vertical="center"/>
    </xf>
    <xf numFmtId="0" fontId="28" fillId="0" borderId="1" xfId="0" applyFont="1" applyBorder="1" applyAlignment="1">
      <alignment vertical="center"/>
    </xf>
    <xf numFmtId="9" fontId="28" fillId="0" borderId="1" xfId="1" applyNumberFormat="1" applyFont="1" applyFill="1" applyBorder="1" applyAlignment="1">
      <alignment horizontal="left" vertical="center"/>
    </xf>
    <xf numFmtId="9" fontId="28" fillId="0" borderId="1" xfId="1" applyFont="1" applyFill="1" applyBorder="1" applyAlignment="1">
      <alignment vertical="center"/>
    </xf>
    <xf numFmtId="42" fontId="28" fillId="0" borderId="4" xfId="5" applyFont="1" applyFill="1" applyBorder="1" applyAlignment="1">
      <alignment horizontal="right" vertical="center" wrapText="1"/>
    </xf>
    <xf numFmtId="42" fontId="20" fillId="0" borderId="1" xfId="5" applyFont="1" applyFill="1" applyBorder="1" applyAlignment="1">
      <alignment horizontal="right"/>
    </xf>
    <xf numFmtId="176" fontId="58" fillId="18" borderId="2" xfId="1" applyNumberFormat="1" applyFont="1" applyFill="1" applyBorder="1" applyAlignment="1">
      <alignment horizontal="right" vertical="center"/>
    </xf>
    <xf numFmtId="176" fontId="58" fillId="18" borderId="16" xfId="1" applyNumberFormat="1" applyFont="1" applyFill="1" applyBorder="1" applyAlignment="1">
      <alignment horizontal="right" vertical="center"/>
    </xf>
    <xf numFmtId="9" fontId="53" fillId="18" borderId="68" xfId="1" applyFont="1" applyFill="1" applyBorder="1" applyAlignment="1">
      <alignment horizontal="right" vertical="center"/>
    </xf>
    <xf numFmtId="9" fontId="53" fillId="18" borderId="36" xfId="1" applyFont="1" applyFill="1" applyBorder="1" applyAlignment="1">
      <alignment horizontal="right" vertical="center"/>
    </xf>
    <xf numFmtId="9" fontId="51" fillId="18" borderId="68" xfId="1" applyFont="1" applyFill="1" applyBorder="1" applyAlignment="1">
      <alignment horizontal="right" vertical="center"/>
    </xf>
    <xf numFmtId="166" fontId="52" fillId="17" borderId="13" xfId="1" applyNumberFormat="1" applyFont="1" applyFill="1" applyBorder="1" applyAlignment="1">
      <alignment horizontal="right" vertical="center"/>
    </xf>
    <xf numFmtId="9" fontId="53" fillId="13" borderId="26" xfId="1" applyFont="1" applyFill="1" applyBorder="1" applyAlignment="1">
      <alignment horizontal="right" vertical="center"/>
    </xf>
    <xf numFmtId="9" fontId="53" fillId="13" borderId="27" xfId="1" applyFont="1" applyFill="1" applyBorder="1" applyAlignment="1">
      <alignment horizontal="right" vertical="center"/>
    </xf>
    <xf numFmtId="9" fontId="53" fillId="18" borderId="27" xfId="1" applyFont="1" applyFill="1" applyBorder="1" applyAlignment="1">
      <alignment horizontal="right" vertical="center"/>
    </xf>
    <xf numFmtId="9" fontId="53" fillId="18" borderId="28" xfId="1" applyFont="1" applyFill="1" applyBorder="1" applyAlignment="1">
      <alignment horizontal="right" vertical="center"/>
    </xf>
    <xf numFmtId="9" fontId="51" fillId="13" borderId="43" xfId="1" applyFont="1" applyFill="1" applyBorder="1" applyAlignment="1">
      <alignment horizontal="right" vertical="center"/>
    </xf>
    <xf numFmtId="9" fontId="51" fillId="13" borderId="76" xfId="1" applyFont="1" applyFill="1" applyBorder="1" applyAlignment="1">
      <alignment horizontal="right" vertical="center"/>
    </xf>
    <xf numFmtId="9" fontId="51" fillId="18" borderId="76" xfId="1" applyFont="1" applyFill="1" applyBorder="1" applyAlignment="1">
      <alignment horizontal="right" vertical="center"/>
    </xf>
    <xf numFmtId="9" fontId="51" fillId="18" borderId="75" xfId="1" applyFont="1" applyFill="1" applyBorder="1" applyAlignment="1">
      <alignment horizontal="right" vertical="center"/>
    </xf>
    <xf numFmtId="9" fontId="51" fillId="18" borderId="42" xfId="1" applyFont="1" applyFill="1" applyBorder="1" applyAlignment="1">
      <alignment horizontal="right" vertical="center"/>
    </xf>
    <xf numFmtId="9" fontId="58" fillId="13" borderId="1" xfId="1" applyFont="1" applyFill="1" applyBorder="1" applyAlignment="1">
      <alignment horizontal="center" vertical="center"/>
    </xf>
    <xf numFmtId="1" fontId="72" fillId="0" borderId="0" xfId="0" applyNumberFormat="1" applyFont="1" applyFill="1" applyBorder="1" applyAlignment="1">
      <alignment horizontal="center"/>
    </xf>
    <xf numFmtId="9" fontId="74" fillId="0" borderId="48" xfId="1" applyFont="1" applyFill="1" applyBorder="1" applyAlignment="1">
      <alignment horizontal="center"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justify" vertical="center" wrapText="1"/>
    </xf>
    <xf numFmtId="9" fontId="74" fillId="0" borderId="49" xfId="1" applyFont="1" applyFill="1" applyBorder="1" applyAlignment="1">
      <alignment horizontal="center" vertical="center"/>
    </xf>
    <xf numFmtId="9" fontId="74" fillId="0" borderId="45" xfId="1" applyFont="1" applyFill="1" applyBorder="1" applyAlignment="1">
      <alignment horizontal="center" vertical="center"/>
    </xf>
    <xf numFmtId="9" fontId="74" fillId="13" borderId="70" xfId="1" applyNumberFormat="1" applyFont="1" applyFill="1" applyBorder="1" applyAlignment="1">
      <alignment horizontal="center" vertical="center"/>
    </xf>
    <xf numFmtId="0" fontId="0" fillId="0" borderId="1" xfId="0" applyBorder="1" applyAlignment="1">
      <alignment horizontal="center" vertical="center"/>
    </xf>
    <xf numFmtId="0" fontId="81" fillId="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0" fontId="28" fillId="21" borderId="1" xfId="0" applyFont="1" applyFill="1" applyBorder="1" applyAlignment="1">
      <alignment horizontal="justify"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xf>
    <xf numFmtId="42" fontId="28" fillId="21" borderId="1" xfId="5" applyFont="1" applyFill="1" applyBorder="1" applyAlignment="1">
      <alignment horizontal="right" vertical="center"/>
    </xf>
    <xf numFmtId="42" fontId="28" fillId="21" borderId="1" xfId="0" applyNumberFormat="1" applyFont="1" applyFill="1" applyBorder="1" applyAlignment="1">
      <alignment horizontal="right" vertical="center"/>
    </xf>
    <xf numFmtId="9" fontId="59" fillId="13" borderId="11" xfId="1" applyFont="1" applyFill="1" applyBorder="1" applyAlignment="1">
      <alignment horizontal="right" vertical="center"/>
    </xf>
    <xf numFmtId="0" fontId="62" fillId="0" borderId="17" xfId="0" applyFont="1" applyBorder="1" applyAlignment="1">
      <alignment horizontal="justify" vertical="center" wrapText="1"/>
    </xf>
    <xf numFmtId="0" fontId="44" fillId="0" borderId="18" xfId="0" applyFont="1" applyBorder="1" applyAlignment="1">
      <alignment horizontal="center" vertical="center" wrapText="1"/>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7" xfId="1" applyFont="1" applyFill="1" applyBorder="1" applyAlignment="1">
      <alignment horizontal="right" vertical="center"/>
    </xf>
    <xf numFmtId="0" fontId="44" fillId="0" borderId="17" xfId="0" applyFont="1" applyFill="1" applyBorder="1" applyAlignment="1">
      <alignment horizontal="center"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28" fillId="0" borderId="1" xfId="0" applyFont="1" applyFill="1" applyBorder="1" applyAlignment="1">
      <alignment horizontal="justify"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21" borderId="5" xfId="0" applyFont="1" applyFill="1" applyBorder="1" applyAlignment="1">
      <alignment horizontal="right" vertical="center"/>
    </xf>
    <xf numFmtId="0" fontId="28" fillId="21" borderId="24" xfId="0" applyFont="1" applyFill="1" applyBorder="1" applyAlignment="1">
      <alignment horizontal="justify" vertical="center" wrapText="1"/>
    </xf>
    <xf numFmtId="0" fontId="28" fillId="21" borderId="24" xfId="0" applyFont="1" applyFill="1" applyBorder="1" applyAlignment="1">
      <alignment horizontal="right" vertical="center"/>
    </xf>
    <xf numFmtId="0" fontId="28" fillId="21" borderId="24" xfId="0" applyFont="1" applyFill="1" applyBorder="1" applyAlignment="1">
      <alignment horizontal="center" vertical="center"/>
    </xf>
    <xf numFmtId="42" fontId="28" fillId="21" borderId="24" xfId="5" applyFont="1" applyFill="1" applyBorder="1" applyAlignment="1">
      <alignment horizontal="right" vertical="center" wrapText="1"/>
    </xf>
    <xf numFmtId="9" fontId="28" fillId="21" borderId="24" xfId="1" applyFont="1" applyFill="1" applyBorder="1" applyAlignment="1">
      <alignment horizontal="right" vertical="center"/>
    </xf>
    <xf numFmtId="42" fontId="28" fillId="21" borderId="24" xfId="0" applyNumberFormat="1" applyFont="1" applyFill="1" applyBorder="1" applyAlignment="1">
      <alignment horizontal="right" vertical="center"/>
    </xf>
    <xf numFmtId="0" fontId="28" fillId="21" borderId="24" xfId="0" applyFont="1" applyFill="1" applyBorder="1" applyAlignment="1">
      <alignment horizontal="justify" vertical="center"/>
    </xf>
    <xf numFmtId="42" fontId="28" fillId="21" borderId="24" xfId="5" applyFont="1" applyFill="1" applyBorder="1" applyAlignment="1">
      <alignment horizontal="right" vertical="center"/>
    </xf>
    <xf numFmtId="9" fontId="28" fillId="21" borderId="24" xfId="1" applyNumberFormat="1" applyFont="1" applyFill="1" applyBorder="1" applyAlignment="1">
      <alignment horizontal="right" vertical="center"/>
    </xf>
    <xf numFmtId="9" fontId="28" fillId="21" borderId="24" xfId="1" applyFont="1" applyFill="1" applyBorder="1" applyAlignment="1">
      <alignment horizontal="justify" vertical="center"/>
    </xf>
    <xf numFmtId="9" fontId="28" fillId="21" borderId="24" xfId="1" applyNumberFormat="1" applyFont="1" applyFill="1" applyBorder="1" applyAlignment="1">
      <alignment horizontal="justify" vertical="center"/>
    </xf>
    <xf numFmtId="9" fontId="28" fillId="21" borderId="24" xfId="1" applyNumberFormat="1" applyFont="1" applyFill="1" applyBorder="1" applyAlignment="1">
      <alignment horizontal="justify" vertical="center" wrapText="1"/>
    </xf>
    <xf numFmtId="0" fontId="28" fillId="2" borderId="1" xfId="0" applyFont="1" applyFill="1" applyBorder="1" applyAlignment="1">
      <alignment horizontal="right" vertical="center"/>
    </xf>
    <xf numFmtId="0" fontId="28" fillId="2" borderId="1" xfId="0" applyFont="1" applyFill="1" applyBorder="1" applyAlignment="1">
      <alignment horizontal="center" vertical="center"/>
    </xf>
    <xf numFmtId="9" fontId="28" fillId="2" borderId="1" xfId="1" applyFont="1" applyFill="1" applyBorder="1" applyAlignment="1">
      <alignment horizontal="right" vertical="center"/>
    </xf>
    <xf numFmtId="9" fontId="28" fillId="21" borderId="1" xfId="0" applyNumberFormat="1" applyFont="1" applyFill="1" applyBorder="1" applyAlignment="1">
      <alignment horizontal="right" vertical="center" wrapText="1"/>
    </xf>
    <xf numFmtId="42" fontId="28" fillId="21" borderId="1" xfId="5" applyFont="1" applyFill="1" applyBorder="1" applyAlignment="1">
      <alignment horizontal="right" vertical="center" wrapText="1"/>
    </xf>
    <xf numFmtId="9" fontId="28" fillId="21" borderId="1" xfId="1" applyFont="1" applyFill="1" applyBorder="1" applyAlignment="1">
      <alignment horizontal="right" vertical="center" wrapText="1"/>
    </xf>
    <xf numFmtId="9" fontId="28" fillId="21" borderId="1" xfId="1" applyNumberFormat="1" applyFont="1" applyFill="1" applyBorder="1" applyAlignment="1">
      <alignment horizontal="left" vertical="center" wrapText="1"/>
    </xf>
    <xf numFmtId="9" fontId="28" fillId="21" borderId="1" xfId="0" applyNumberFormat="1" applyFont="1" applyFill="1" applyBorder="1" applyAlignment="1">
      <alignment horizontal="center" vertical="center" wrapText="1"/>
    </xf>
    <xf numFmtId="1" fontId="28" fillId="0" borderId="1" xfId="1" applyNumberFormat="1" applyFont="1" applyFill="1" applyBorder="1" applyAlignment="1">
      <alignment vertical="center"/>
    </xf>
    <xf numFmtId="9" fontId="58" fillId="13" borderId="18" xfId="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0" fontId="28" fillId="21" borderId="1" xfId="0" applyFont="1" applyFill="1" applyBorder="1" applyAlignment="1">
      <alignment horizontal="right" vertical="center"/>
    </xf>
    <xf numFmtId="9" fontId="28" fillId="21" borderId="1" xfId="0" applyNumberFormat="1" applyFont="1" applyFill="1" applyBorder="1" applyAlignment="1">
      <alignment horizontal="right" vertical="center"/>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1" xfId="0" applyFont="1" applyFill="1" applyBorder="1" applyAlignment="1">
      <alignment horizontal="right" vertical="center"/>
    </xf>
    <xf numFmtId="42" fontId="28" fillId="0" borderId="1" xfId="5" applyFont="1" applyFill="1" applyBorder="1" applyAlignment="1">
      <alignment horizontal="right" vertical="center" wrapText="1"/>
    </xf>
    <xf numFmtId="42" fontId="28" fillId="20" borderId="1" xfId="5" applyFont="1" applyFill="1" applyBorder="1" applyAlignment="1">
      <alignment horizontal="right" vertical="center" wrapText="1"/>
    </xf>
    <xf numFmtId="9" fontId="28" fillId="0" borderId="1" xfId="0" applyNumberFormat="1" applyFont="1" applyFill="1" applyBorder="1" applyAlignment="1">
      <alignment horizontal="left" vertical="center" wrapText="1"/>
    </xf>
    <xf numFmtId="9" fontId="28" fillId="0" borderId="1" xfId="0" applyNumberFormat="1" applyFont="1" applyFill="1" applyBorder="1" applyAlignment="1">
      <alignment horizontal="left" vertical="center"/>
    </xf>
    <xf numFmtId="9" fontId="20" fillId="0" borderId="1" xfId="0" applyNumberFormat="1" applyFont="1" applyFill="1" applyBorder="1" applyAlignment="1">
      <alignment horizontal="left" vertical="center" wrapText="1"/>
    </xf>
    <xf numFmtId="0" fontId="28" fillId="0" borderId="1" xfId="0"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18"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wrapText="1"/>
    </xf>
    <xf numFmtId="0" fontId="28" fillId="20" borderId="1" xfId="0" applyFont="1" applyFill="1" applyBorder="1" applyAlignment="1">
      <alignment horizontal="right" vertical="center"/>
    </xf>
    <xf numFmtId="42" fontId="28" fillId="0" borderId="1" xfId="5" applyFont="1" applyBorder="1" applyAlignment="1">
      <alignment horizontal="right" vertical="center"/>
    </xf>
    <xf numFmtId="9" fontId="59" fillId="13" borderId="37"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8" xfId="1" applyFont="1" applyFill="1" applyBorder="1" applyAlignment="1">
      <alignment horizontal="right" vertical="center"/>
    </xf>
    <xf numFmtId="0" fontId="44" fillId="0" borderId="1" xfId="0" applyFont="1" applyBorder="1" applyAlignment="1">
      <alignment horizontal="justify" vertical="center" wrapText="1"/>
    </xf>
    <xf numFmtId="9" fontId="28" fillId="20" borderId="1" xfId="0" applyNumberFormat="1" applyFont="1" applyFill="1" applyBorder="1" applyAlignment="1">
      <alignment horizontal="justify" vertical="center" wrapText="1"/>
    </xf>
    <xf numFmtId="9" fontId="28" fillId="21" borderId="1" xfId="0" applyNumberFormat="1" applyFont="1" applyFill="1" applyBorder="1" applyAlignment="1">
      <alignment horizontal="justify" vertical="center" wrapText="1"/>
    </xf>
    <xf numFmtId="9" fontId="28" fillId="2" borderId="1" xfId="0" applyNumberFormat="1" applyFont="1" applyFill="1" applyBorder="1" applyAlignment="1">
      <alignment horizontal="right" vertical="center"/>
    </xf>
    <xf numFmtId="42" fontId="28" fillId="2" borderId="1" xfId="5" applyFont="1" applyFill="1" applyBorder="1" applyAlignment="1">
      <alignment horizontal="right" vertical="center"/>
    </xf>
    <xf numFmtId="1" fontId="28" fillId="2" borderId="1" xfId="0" applyNumberFormat="1" applyFont="1" applyFill="1" applyBorder="1" applyAlignment="1">
      <alignment horizontal="right" vertical="center"/>
    </xf>
    <xf numFmtId="42" fontId="81" fillId="0" borderId="1" xfId="1" applyNumberFormat="1" applyFont="1" applyFill="1" applyBorder="1" applyAlignment="1">
      <alignment horizontal="right" vertical="center"/>
    </xf>
    <xf numFmtId="44" fontId="28" fillId="0" borderId="18" xfId="37" applyFont="1" applyFill="1" applyBorder="1" applyAlignment="1">
      <alignment horizontal="right" vertical="center"/>
    </xf>
    <xf numFmtId="0" fontId="28" fillId="15" borderId="7" xfId="0" applyFont="1" applyFill="1" applyBorder="1" applyAlignment="1">
      <alignment horizontal="right" vertical="center"/>
    </xf>
    <xf numFmtId="0" fontId="28" fillId="15" borderId="1" xfId="0" applyFont="1" applyFill="1" applyBorder="1" applyAlignment="1">
      <alignment horizontal="justify" vertical="center" wrapText="1"/>
    </xf>
    <xf numFmtId="0" fontId="28" fillId="15" borderId="1" xfId="0" applyFont="1" applyFill="1" applyBorder="1" applyAlignment="1">
      <alignment horizontal="center" vertical="center" wrapText="1"/>
    </xf>
    <xf numFmtId="0" fontId="28" fillId="15" borderId="1" xfId="0" applyFont="1" applyFill="1" applyBorder="1" applyAlignment="1">
      <alignment horizontal="right" vertical="center"/>
    </xf>
    <xf numFmtId="0" fontId="28" fillId="15" borderId="1" xfId="0" applyFont="1" applyFill="1" applyBorder="1" applyAlignment="1">
      <alignment horizontal="center" vertical="center"/>
    </xf>
    <xf numFmtId="1" fontId="28" fillId="15" borderId="1" xfId="1" applyNumberFormat="1" applyFont="1" applyFill="1" applyBorder="1" applyAlignment="1">
      <alignment horizontal="right" vertical="center"/>
    </xf>
    <xf numFmtId="42" fontId="28" fillId="15" borderId="1" xfId="5" applyFont="1" applyFill="1" applyBorder="1" applyAlignment="1">
      <alignment horizontal="right" vertical="center"/>
    </xf>
    <xf numFmtId="9" fontId="28" fillId="15" borderId="1" xfId="1" applyFont="1" applyFill="1" applyBorder="1" applyAlignment="1">
      <alignment horizontal="right" vertical="center"/>
    </xf>
    <xf numFmtId="42" fontId="28" fillId="15" borderId="1" xfId="0" applyNumberFormat="1" applyFont="1" applyFill="1" applyBorder="1" applyAlignment="1">
      <alignment horizontal="right" vertical="center"/>
    </xf>
    <xf numFmtId="0" fontId="28" fillId="15" borderId="1" xfId="0" applyFont="1" applyFill="1" applyBorder="1" applyAlignment="1">
      <alignment horizontal="justify" vertical="center"/>
    </xf>
    <xf numFmtId="9" fontId="28" fillId="15" borderId="1" xfId="1" applyNumberFormat="1" applyFont="1" applyFill="1" applyBorder="1" applyAlignment="1">
      <alignment horizontal="right" vertical="center"/>
    </xf>
    <xf numFmtId="9" fontId="28" fillId="15" borderId="1" xfId="1" applyNumberFormat="1" applyFont="1" applyFill="1" applyBorder="1" applyAlignment="1">
      <alignment horizontal="justify" vertical="center"/>
    </xf>
    <xf numFmtId="9" fontId="28" fillId="15" borderId="1" xfId="0" applyNumberFormat="1" applyFont="1" applyFill="1" applyBorder="1" applyAlignment="1">
      <alignment horizontal="right" vertical="center"/>
    </xf>
    <xf numFmtId="0" fontId="28" fillId="15" borderId="1" xfId="0" applyFont="1" applyFill="1" applyBorder="1"/>
    <xf numFmtId="42" fontId="28" fillId="15" borderId="0" xfId="0" applyNumberFormat="1" applyFont="1" applyFill="1"/>
    <xf numFmtId="0" fontId="20" fillId="15" borderId="0" xfId="0" applyFont="1" applyFill="1"/>
    <xf numFmtId="0" fontId="75" fillId="15" borderId="1" xfId="0" applyFont="1" applyFill="1" applyBorder="1" applyAlignment="1">
      <alignment horizontal="center" vertical="center"/>
    </xf>
    <xf numFmtId="1" fontId="28" fillId="15" borderId="1" xfId="0" applyNumberFormat="1" applyFont="1" applyFill="1" applyBorder="1" applyAlignment="1">
      <alignment horizontal="right" vertical="center"/>
    </xf>
    <xf numFmtId="0" fontId="28" fillId="15" borderId="1" xfId="0" applyFont="1" applyFill="1" applyBorder="1" applyAlignment="1">
      <alignment horizontal="left" vertical="center" wrapText="1"/>
    </xf>
    <xf numFmtId="0" fontId="0" fillId="15" borderId="0" xfId="0" applyFill="1"/>
    <xf numFmtId="9" fontId="28" fillId="0" borderId="1" xfId="0" applyNumberFormat="1" applyFont="1" applyBorder="1" applyAlignment="1">
      <alignment horizontal="justify" vertical="center" wrapText="1"/>
    </xf>
    <xf numFmtId="9" fontId="28" fillId="0" borderId="25" xfId="0" applyNumberFormat="1" applyFont="1" applyFill="1" applyBorder="1" applyAlignment="1">
      <alignment horizontal="justify" vertical="center"/>
    </xf>
    <xf numFmtId="9" fontId="28" fillId="0" borderId="1" xfId="0" applyNumberFormat="1" applyFont="1" applyFill="1" applyBorder="1" applyAlignment="1">
      <alignment horizontal="right"/>
    </xf>
    <xf numFmtId="42" fontId="28" fillId="0" borderId="1" xfId="5" applyFont="1" applyBorder="1" applyAlignment="1">
      <alignment horizontal="right" vertical="center" wrapText="1"/>
    </xf>
    <xf numFmtId="0" fontId="28" fillId="0" borderId="4" xfId="0" applyNumberFormat="1" applyFont="1" applyFill="1" applyBorder="1" applyAlignment="1">
      <alignment horizontal="right" vertical="center" wrapText="1"/>
    </xf>
    <xf numFmtId="42" fontId="28" fillId="0" borderId="4" xfId="5" applyFont="1" applyBorder="1" applyAlignment="1">
      <alignment horizontal="right" vertical="center" wrapText="1"/>
    </xf>
    <xf numFmtId="9" fontId="28" fillId="0" borderId="4" xfId="0" applyNumberFormat="1" applyFont="1" applyFill="1" applyBorder="1" applyAlignment="1">
      <alignment horizontal="justify" vertical="center" wrapText="1"/>
    </xf>
    <xf numFmtId="9" fontId="28" fillId="20" borderId="1" xfId="0" applyNumberFormat="1" applyFont="1" applyFill="1" applyBorder="1" applyAlignment="1">
      <alignment horizontal="justify"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justify" vertical="center"/>
    </xf>
    <xf numFmtId="0" fontId="28" fillId="6" borderId="1" xfId="0" applyFont="1" applyFill="1" applyBorder="1" applyAlignment="1">
      <alignment horizontal="right" vertical="center"/>
    </xf>
    <xf numFmtId="0" fontId="28" fillId="0" borderId="1" xfId="0"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42" fontId="28" fillId="0" borderId="1" xfId="5" applyFont="1" applyBorder="1" applyAlignment="1">
      <alignment horizontal="right" vertical="center"/>
    </xf>
    <xf numFmtId="0" fontId="28" fillId="20" borderId="1" xfId="0" applyFont="1" applyFill="1" applyBorder="1" applyAlignment="1">
      <alignment horizontal="right" vertical="center"/>
    </xf>
    <xf numFmtId="9" fontId="58" fillId="13" borderId="18" xfId="1"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1" fontId="28" fillId="0" borderId="1" xfId="0" applyNumberFormat="1" applyFont="1" applyBorder="1" applyAlignment="1">
      <alignment horizontal="right" vertical="center"/>
    </xf>
    <xf numFmtId="166" fontId="28" fillId="0" borderId="1" xfId="1" applyNumberFormat="1" applyFont="1" applyBorder="1" applyAlignment="1">
      <alignment horizontal="right" vertical="center"/>
    </xf>
    <xf numFmtId="44" fontId="28" fillId="0" borderId="25" xfId="37" applyFont="1" applyFill="1" applyBorder="1" applyAlignment="1">
      <alignment horizontal="right" vertical="center"/>
    </xf>
    <xf numFmtId="42" fontId="28" fillId="22" borderId="1" xfId="5" applyFont="1" applyFill="1" applyBorder="1" applyAlignment="1">
      <alignment horizontal="right" vertical="center"/>
    </xf>
    <xf numFmtId="9" fontId="28" fillId="0" borderId="1" xfId="0" applyNumberFormat="1" applyFont="1" applyFill="1" applyBorder="1" applyAlignment="1">
      <alignment horizontal="justify" vertical="center" wrapText="1"/>
    </xf>
    <xf numFmtId="9" fontId="28" fillId="0" borderId="25" xfId="0" applyNumberFormat="1" applyFont="1" applyFill="1" applyBorder="1" applyAlignment="1">
      <alignment horizontal="justify" vertical="center" wrapText="1"/>
    </xf>
    <xf numFmtId="42" fontId="81" fillId="0" borderId="1" xfId="0" applyNumberFormat="1" applyFont="1" applyFill="1" applyBorder="1" applyAlignment="1">
      <alignment horizontal="right" vertical="center"/>
    </xf>
    <xf numFmtId="42" fontId="81" fillId="0" borderId="1" xfId="27"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justify" vertical="center" wrapText="1"/>
    </xf>
    <xf numFmtId="9" fontId="58" fillId="18" borderId="16" xfId="1" applyFont="1" applyFill="1" applyBorder="1" applyAlignment="1">
      <alignment horizontal="right" vertical="center"/>
    </xf>
    <xf numFmtId="9" fontId="58" fillId="13" borderId="18" xfId="1" applyFont="1" applyFill="1" applyBorder="1" applyAlignment="1">
      <alignment horizontal="right" vertical="center"/>
    </xf>
    <xf numFmtId="1" fontId="59" fillId="13" borderId="37" xfId="1" applyNumberFormat="1" applyFont="1" applyFill="1" applyBorder="1" applyAlignment="1">
      <alignment horizontal="right" vertical="center"/>
    </xf>
    <xf numFmtId="0" fontId="28" fillId="21" borderId="1" xfId="1" applyNumberFormat="1" applyFont="1" applyFill="1" applyBorder="1" applyAlignment="1">
      <alignment horizontal="right" vertical="center"/>
    </xf>
    <xf numFmtId="9" fontId="58" fillId="13" borderId="8" xfId="1" applyFont="1" applyFill="1" applyBorder="1" applyAlignment="1">
      <alignment horizontal="center" vertical="center"/>
    </xf>
    <xf numFmtId="9" fontId="58" fillId="13" borderId="67" xfId="1" applyNumberFormat="1" applyFont="1" applyFill="1" applyBorder="1" applyAlignment="1">
      <alignment horizontal="right" vertical="center"/>
    </xf>
    <xf numFmtId="9" fontId="74" fillId="13" borderId="46" xfId="1" applyNumberFormat="1" applyFont="1" applyFill="1" applyBorder="1" applyAlignment="1">
      <alignment horizontal="center" vertical="center"/>
    </xf>
    <xf numFmtId="9" fontId="53" fillId="13" borderId="36" xfId="1" applyNumberFormat="1" applyFont="1" applyFill="1" applyBorder="1" applyAlignment="1">
      <alignment horizontal="right" vertical="center"/>
    </xf>
    <xf numFmtId="9" fontId="81" fillId="0" borderId="1" xfId="1" applyFont="1" applyFill="1" applyBorder="1" applyAlignment="1">
      <alignment horizontal="right" vertical="center"/>
    </xf>
    <xf numFmtId="1" fontId="90" fillId="0" borderId="0" xfId="0" applyNumberFormat="1" applyFont="1"/>
    <xf numFmtId="1" fontId="45" fillId="0" borderId="0" xfId="0" applyNumberFormat="1" applyFont="1"/>
    <xf numFmtId="1" fontId="45" fillId="0" borderId="0" xfId="0" applyNumberFormat="1" applyFont="1" applyAlignment="1">
      <alignment horizontal="center" vertical="center" wrapText="1"/>
    </xf>
    <xf numFmtId="1" fontId="54" fillId="13" borderId="0" xfId="1" applyNumberFormat="1" applyFont="1" applyFill="1" applyBorder="1" applyAlignment="1">
      <alignment horizontal="center" vertical="center"/>
    </xf>
    <xf numFmtId="1" fontId="54" fillId="0" borderId="0" xfId="1" applyNumberFormat="1" applyFont="1" applyFill="1" applyBorder="1" applyAlignment="1">
      <alignment horizontal="center" vertical="center"/>
    </xf>
    <xf numFmtId="1" fontId="45" fillId="0" borderId="0" xfId="0" applyNumberFormat="1" applyFont="1" applyFill="1"/>
    <xf numFmtId="0" fontId="28" fillId="0" borderId="1" xfId="0" applyFont="1" applyFill="1" applyBorder="1" applyAlignment="1">
      <alignment horizontal="right" vertical="center"/>
    </xf>
    <xf numFmtId="9" fontId="28" fillId="0" borderId="1" xfId="0" applyNumberFormat="1" applyFont="1" applyFill="1" applyBorder="1" applyAlignment="1">
      <alignment horizontal="justify" vertical="center" wrapText="1"/>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justify" vertical="center" wrapText="1"/>
    </xf>
    <xf numFmtId="49" fontId="28" fillId="0" borderId="1" xfId="0" applyNumberFormat="1" applyFont="1" applyFill="1" applyBorder="1" applyAlignment="1">
      <alignment horizontal="justify" vertical="center" wrapText="1"/>
    </xf>
    <xf numFmtId="0" fontId="28" fillId="0" borderId="1" xfId="0" applyFont="1" applyFill="1" applyBorder="1" applyAlignment="1">
      <alignment horizontal="justify" vertical="center" wrapText="1"/>
    </xf>
    <xf numFmtId="9" fontId="28" fillId="0" borderId="1" xfId="0" applyNumberFormat="1" applyFont="1" applyFill="1" applyBorder="1" applyAlignment="1">
      <alignment horizontal="center" vertical="center"/>
    </xf>
    <xf numFmtId="0" fontId="70" fillId="0" borderId="1" xfId="0" applyFont="1" applyBorder="1" applyAlignment="1">
      <alignment horizontal="center" vertical="center" wrapText="1"/>
    </xf>
    <xf numFmtId="9" fontId="28" fillId="0" borderId="1" xfId="1" applyFont="1" applyFill="1" applyBorder="1" applyAlignment="1">
      <alignment horizontal="right" vertical="center"/>
    </xf>
    <xf numFmtId="0" fontId="0" fillId="0" borderId="0" xfId="0" applyAlignment="1">
      <alignment horizontal="justify" vertical="center" wrapText="1"/>
    </xf>
    <xf numFmtId="0" fontId="0" fillId="0" borderId="1" xfId="0" applyBorder="1" applyAlignment="1">
      <alignment vertical="center" wrapText="1"/>
    </xf>
    <xf numFmtId="178" fontId="28" fillId="0" borderId="1" xfId="37" applyNumberFormat="1" applyFont="1" applyFill="1" applyBorder="1" applyAlignment="1">
      <alignment horizontal="justify" vertical="center"/>
    </xf>
    <xf numFmtId="178" fontId="0" fillId="0" borderId="1" xfId="37" applyNumberFormat="1" applyFont="1" applyBorder="1" applyAlignment="1">
      <alignment vertical="center" wrapText="1"/>
    </xf>
    <xf numFmtId="9" fontId="0" fillId="0" borderId="1" xfId="0" applyNumberFormat="1" applyBorder="1" applyAlignment="1">
      <alignment vertical="center" wrapText="1"/>
    </xf>
    <xf numFmtId="179" fontId="28" fillId="3" borderId="1" xfId="1" applyNumberFormat="1" applyFont="1" applyFill="1" applyBorder="1" applyAlignment="1">
      <alignment horizontal="right" vertical="center" wrapText="1"/>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9" fontId="28" fillId="0" borderId="1" xfId="0" applyNumberFormat="1" applyFont="1" applyFill="1" applyBorder="1" applyAlignment="1">
      <alignment horizontal="right" vertical="center"/>
    </xf>
    <xf numFmtId="0" fontId="43" fillId="16" borderId="24" xfId="0" applyFont="1" applyFill="1" applyBorder="1" applyAlignment="1">
      <alignment horizontal="center" vertical="center" wrapText="1"/>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42" fontId="28" fillId="0" borderId="1" xfId="5" applyFont="1" applyFill="1" applyBorder="1" applyAlignment="1">
      <alignment horizontal="center" vertical="center"/>
    </xf>
    <xf numFmtId="177" fontId="28" fillId="0" borderId="4" xfId="0" applyNumberFormat="1" applyFont="1" applyFill="1" applyBorder="1" applyAlignment="1">
      <alignment horizontal="right" vertical="center" wrapText="1"/>
    </xf>
    <xf numFmtId="177" fontId="28" fillId="0" borderId="17" xfId="0" applyNumberFormat="1" applyFont="1" applyFill="1" applyBorder="1" applyAlignment="1">
      <alignment horizontal="right" vertical="center" wrapText="1"/>
    </xf>
    <xf numFmtId="177" fontId="28" fillId="0" borderId="18" xfId="0" applyNumberFormat="1" applyFont="1" applyFill="1" applyBorder="1" applyAlignment="1">
      <alignment horizontal="right" vertical="center" wrapText="1"/>
    </xf>
    <xf numFmtId="9" fontId="28" fillId="0" borderId="4" xfId="1" applyNumberFormat="1" applyFont="1" applyFill="1" applyBorder="1" applyAlignment="1">
      <alignment horizontal="left" vertical="center" wrapText="1"/>
    </xf>
    <xf numFmtId="9" fontId="28" fillId="0" borderId="18" xfId="1" applyNumberFormat="1" applyFont="1" applyFill="1" applyBorder="1" applyAlignment="1">
      <alignment horizontal="left"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44" fontId="28" fillId="0" borderId="4" xfId="37" applyFont="1" applyFill="1" applyBorder="1" applyAlignment="1">
      <alignment horizontal="right" vertical="center"/>
    </xf>
    <xf numFmtId="44" fontId="28" fillId="0" borderId="18" xfId="37" applyFont="1" applyFill="1" applyBorder="1" applyAlignment="1">
      <alignment horizontal="right" vertical="center"/>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0" fontId="28"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10" fontId="28" fillId="0" borderId="1" xfId="1" applyNumberFormat="1" applyFont="1" applyFill="1" applyBorder="1" applyAlignment="1">
      <alignment horizontal="center" vertical="center"/>
    </xf>
    <xf numFmtId="9" fontId="28" fillId="0" borderId="4" xfId="1" applyFont="1" applyBorder="1" applyAlignment="1">
      <alignment horizontal="justify" vertical="center" wrapText="1"/>
    </xf>
    <xf numFmtId="9" fontId="28" fillId="0" borderId="18" xfId="1" applyFont="1" applyBorder="1" applyAlignment="1">
      <alignment horizontal="justify" vertical="center" wrapText="1"/>
    </xf>
    <xf numFmtId="9" fontId="28" fillId="0" borderId="1" xfId="1" applyFont="1" applyBorder="1" applyAlignment="1">
      <alignment horizontal="justify" vertical="center" wrapText="1"/>
    </xf>
    <xf numFmtId="9" fontId="28" fillId="0" borderId="1" xfId="1" applyFont="1" applyBorder="1" applyAlignment="1">
      <alignment horizontal="center" vertical="center" wrapText="1"/>
    </xf>
    <xf numFmtId="0" fontId="28" fillId="0" borderId="1" xfId="0" applyFont="1" applyFill="1" applyBorder="1" applyAlignment="1">
      <alignment horizontal="left" vertical="center"/>
    </xf>
    <xf numFmtId="41" fontId="28" fillId="0" borderId="1" xfId="0" applyNumberFormat="1" applyFont="1" applyFill="1" applyBorder="1" applyAlignment="1">
      <alignment horizontal="center" vertical="center"/>
    </xf>
    <xf numFmtId="41" fontId="28" fillId="0" borderId="1" xfId="0" applyNumberFormat="1" applyFont="1" applyFill="1" applyBorder="1" applyAlignment="1">
      <alignment horizontal="right" vertical="center" wrapText="1"/>
    </xf>
    <xf numFmtId="42" fontId="28" fillId="0" borderId="1" xfId="5" applyFont="1" applyFill="1" applyBorder="1" applyAlignment="1">
      <alignment horizontal="right" wrapText="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vertical="center" wrapText="1"/>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20" fillId="0" borderId="0" xfId="0" applyFont="1" applyAlignment="1">
      <alignment horizontal="left" wrapText="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42" fontId="28" fillId="0" borderId="4" xfId="5" applyFont="1" applyBorder="1" applyAlignment="1">
      <alignment horizontal="right" vertical="center"/>
    </xf>
    <xf numFmtId="42" fontId="28" fillId="0" borderId="17" xfId="5" applyFont="1" applyBorder="1" applyAlignment="1">
      <alignment horizontal="right" vertical="center"/>
    </xf>
    <xf numFmtId="42" fontId="28" fillId="0" borderId="18" xfId="5" applyFont="1" applyBorder="1" applyAlignment="1">
      <alignment horizontal="right" vertical="center"/>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42" fontId="28" fillId="21" borderId="1" xfId="5"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0" fontId="18" fillId="0" borderId="0" xfId="0" applyFont="1" applyAlignment="1">
      <alignment horizontal="left"/>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0" fontId="37" fillId="16" borderId="30" xfId="0" applyFont="1" applyFill="1" applyBorder="1" applyAlignment="1">
      <alignment horizontal="center" vertical="center" wrapText="1"/>
    </xf>
    <xf numFmtId="0" fontId="28" fillId="2" borderId="1" xfId="0" applyFont="1" applyFill="1" applyBorder="1" applyAlignment="1">
      <alignment horizontal="justify" vertical="center" wrapText="1"/>
    </xf>
    <xf numFmtId="42" fontId="28" fillId="20" borderId="1" xfId="5"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8" fontId="28" fillId="0" borderId="1" xfId="0" applyNumberFormat="1" applyFont="1" applyFill="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9" fontId="28" fillId="20" borderId="8" xfId="1" applyNumberFormat="1"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0" applyNumberFormat="1" applyFont="1" applyBorder="1" applyAlignment="1">
      <alignment horizontal="right" vertical="center"/>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4" fontId="28" fillId="0" borderId="1" xfId="37" applyFont="1" applyFill="1" applyBorder="1" applyAlignment="1">
      <alignment horizontal="right" vertical="center"/>
    </xf>
    <xf numFmtId="44" fontId="28" fillId="20" borderId="1" xfId="37"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0" fontId="28" fillId="0" borderId="1" xfId="1" applyNumberFormat="1" applyFont="1" applyFill="1" applyBorder="1" applyAlignment="1">
      <alignment horizontal="center"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8" fillId="21" borderId="1" xfId="0" applyFont="1" applyFill="1" applyBorder="1" applyAlignment="1">
      <alignment horizontal="justify" vertical="center"/>
    </xf>
    <xf numFmtId="42" fontId="28" fillId="21" borderId="1" xfId="5" applyFont="1" applyFill="1" applyBorder="1" applyAlignment="1">
      <alignment horizontal="center" vertical="center"/>
    </xf>
    <xf numFmtId="42" fontId="28" fillId="0" borderId="1" xfId="27" applyFont="1" applyFill="1" applyBorder="1" applyAlignment="1">
      <alignment horizontal="center" vertical="center"/>
    </xf>
    <xf numFmtId="9" fontId="28" fillId="0" borderId="1" xfId="0" applyNumberFormat="1" applyFont="1" applyFill="1" applyBorder="1" applyAlignment="1">
      <alignment horizontal="justify" vertical="center" wrapText="1"/>
    </xf>
    <xf numFmtId="44" fontId="28" fillId="0" borderId="1" xfId="37" applyFont="1" applyFill="1" applyBorder="1" applyAlignment="1">
      <alignment horizontal="center" vertical="center"/>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26" xfId="0" applyFont="1" applyBorder="1" applyAlignment="1">
      <alignment horizontal="justify" vertical="center" wrapText="1"/>
    </xf>
    <xf numFmtId="0" fontId="44" fillId="0" borderId="26" xfId="0" applyFont="1" applyBorder="1" applyAlignment="1">
      <alignment horizontal="center" vertical="center" wrapText="1"/>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58" xfId="1" applyFont="1" applyFill="1" applyBorder="1" applyAlignment="1">
      <alignment horizontal="center" vertical="center"/>
    </xf>
    <xf numFmtId="9" fontId="58" fillId="13" borderId="16"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0" fontId="62" fillId="0" borderId="4" xfId="0" applyFont="1" applyBorder="1" applyAlignment="1">
      <alignment horizontal="justify" vertical="center" wrapText="1"/>
    </xf>
    <xf numFmtId="0" fontId="62" fillId="0" borderId="18" xfId="0" applyFont="1" applyBorder="1" applyAlignment="1">
      <alignment horizontal="justify" vertical="center" wrapText="1"/>
    </xf>
    <xf numFmtId="0" fontId="44" fillId="0" borderId="4"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8" fillId="17" borderId="35" xfId="0" applyFont="1" applyFill="1" applyBorder="1" applyAlignment="1">
      <alignment horizontal="center" vertical="center"/>
    </xf>
    <xf numFmtId="0" fontId="48" fillId="17" borderId="26"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0" fontId="62" fillId="0" borderId="17" xfId="0" applyFont="1" applyBorder="1" applyAlignment="1">
      <alignment horizontal="justify" vertical="center" wrapText="1"/>
    </xf>
    <xf numFmtId="0" fontId="44" fillId="0" borderId="18" xfId="0" applyFont="1" applyFill="1" applyBorder="1" applyAlignment="1">
      <alignment horizontal="justify" vertical="center" wrapText="1"/>
    </xf>
    <xf numFmtId="0" fontId="44" fillId="0" borderId="26" xfId="0" applyFont="1" applyFill="1" applyBorder="1" applyAlignment="1">
      <alignment horizontal="center" vertical="center" wrapText="1"/>
    </xf>
    <xf numFmtId="0" fontId="62" fillId="0" borderId="43" xfId="0" applyFont="1" applyBorder="1" applyAlignment="1">
      <alignment horizontal="justify" vertical="center" wrapText="1"/>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0" fontId="62" fillId="0" borderId="1" xfId="0" applyFont="1" applyBorder="1" applyAlignment="1">
      <alignment horizontal="justify"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9" fontId="59" fillId="13" borderId="11" xfId="1" applyFont="1" applyFill="1" applyBorder="1" applyAlignment="1">
      <alignment horizontal="right" vertical="center"/>
    </xf>
    <xf numFmtId="9" fontId="59" fillId="13" borderId="14" xfId="1" applyFont="1" applyFill="1" applyBorder="1" applyAlignment="1">
      <alignment horizontal="right" vertical="center"/>
    </xf>
    <xf numFmtId="9" fontId="59" fillId="13" borderId="37" xfId="1" applyFont="1" applyFill="1" applyBorder="1" applyAlignment="1">
      <alignment horizontal="right" vertical="center"/>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9" fontId="56" fillId="13" borderId="21" xfId="0" applyNumberFormat="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0"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9" fontId="56" fillId="13" borderId="23" xfId="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9" fontId="58" fillId="13" borderId="58" xfId="1" applyFont="1" applyFill="1" applyBorder="1" applyAlignment="1">
      <alignment horizontal="right" vertical="center"/>
    </xf>
    <xf numFmtId="9" fontId="58" fillId="13" borderId="17" xfId="1" applyFont="1" applyFill="1" applyBorder="1" applyAlignment="1">
      <alignment horizontal="right"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8" borderId="4" xfId="1" applyFont="1" applyFill="1" applyBorder="1" applyAlignment="1">
      <alignment horizontal="right" vertical="center"/>
    </xf>
    <xf numFmtId="9" fontId="58" fillId="18" borderId="18"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9" fontId="58" fillId="18" borderId="58" xfId="1" applyFont="1" applyFill="1" applyBorder="1" applyAlignment="1">
      <alignment horizontal="right" vertical="center"/>
    </xf>
    <xf numFmtId="9" fontId="58" fillId="18" borderId="17" xfId="1" applyFont="1" applyFill="1" applyBorder="1" applyAlignment="1">
      <alignment horizontal="right"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27"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justify" vertical="center" wrapText="1"/>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44" fillId="0" borderId="43" xfId="0" applyFont="1" applyFill="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justify" vertical="center" wrapText="1"/>
    </xf>
    <xf numFmtId="0" fontId="44" fillId="0" borderId="1" xfId="0" applyFont="1" applyBorder="1" applyAlignment="1">
      <alignment horizontal="center" vertical="center" wrapText="1"/>
    </xf>
    <xf numFmtId="49" fontId="65" fillId="16" borderId="27"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0" fontId="44" fillId="0" borderId="1" xfId="0" applyFont="1" applyBorder="1" applyAlignment="1">
      <alignment horizontal="justify" vertical="center" wrapText="1"/>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0" fontId="44" fillId="0" borderId="4"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4" fillId="0" borderId="18" xfId="0" applyFont="1" applyFill="1" applyBorder="1" applyAlignment="1">
      <alignment horizontal="left" vertical="center" wrapText="1"/>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9" fontId="69" fillId="16" borderId="74" xfId="1"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70" fillId="0" borderId="54" xfId="0" applyFont="1" applyBorder="1" applyAlignment="1">
      <alignment horizontal="justify" vertical="center" wrapText="1"/>
    </xf>
    <xf numFmtId="0" fontId="70" fillId="0" borderId="38" xfId="0" applyFont="1" applyBorder="1" applyAlignment="1">
      <alignment horizontal="justify" vertical="center"/>
    </xf>
    <xf numFmtId="0" fontId="70" fillId="0" borderId="39" xfId="0" applyFont="1" applyBorder="1" applyAlignment="1">
      <alignment horizontal="justify" vertical="center"/>
    </xf>
    <xf numFmtId="0" fontId="70" fillId="0" borderId="38" xfId="0" applyFont="1" applyBorder="1" applyAlignment="1">
      <alignment horizontal="justify" vertical="center" wrapText="1"/>
    </xf>
    <xf numFmtId="0" fontId="70" fillId="0" borderId="39" xfId="0" applyFont="1" applyBorder="1" applyAlignment="1">
      <alignment horizontal="justify" vertical="center" wrapText="1"/>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5" fillId="0" borderId="0" xfId="0" applyFont="1" applyAlignment="1">
      <alignment horizont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5" fillId="0" borderId="0" xfId="0" applyFont="1" applyFill="1" applyBorder="1" applyAlignment="1">
      <alignment horizontal="center"/>
    </xf>
  </cellXfs>
  <cellStyles count="38">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xfId="37" builtinId="4"/>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408">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37</xdr:col>
      <xdr:colOff>52385</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47</xdr:col>
      <xdr:colOff>481009</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25</xdr:col>
      <xdr:colOff>1314450</xdr:colOff>
      <xdr:row>0</xdr:row>
      <xdr:rowOff>0</xdr:rowOff>
    </xdr:from>
    <xdr:to>
      <xdr:col>27</xdr:col>
      <xdr:colOff>1038225</xdr:colOff>
      <xdr:row>2</xdr:row>
      <xdr:rowOff>190442</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4461450" y="0"/>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93169</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93169</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Avances%204&#176;%20Trimestre%20Plan%20Accion%20Integrado%20ADRES%202018%20con%20Cuadro%20de%20Mando%20Public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ernando.castro\Documents\Fcastro\Plan%20de%20acci&#243;n%202019\DIES-F07-08_Plan_Accion_2019_V01%20aprobado%20publicaci&#243;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tha.serna\ADRES\DIANA%20FERNANDA%20FORERO%20CORREDOR%20-%20GRUPO%20GESTI&#211;N%20DE%20SERVICIO%20AL%20CIUDADANO\Plan%20Accion%20Integrado%20ADRES%20Vigencia%202018%20%20con%20cuadro%20de%20mando%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Integrado%20ADRES%20Vigencia%202018%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4%20Otros%20planes%20T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Plan_Accion_2019_OCI_V0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on%202018\Plan%20Accion%20Integrado%20ADRES%20Vigencia%202018%20con%20Cuadro%20de%20Mando%20V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orela.briceno\Documents\Plan%20de%20acci&#243;n\Plan%20Acci&#243;n%202019\DIES-F07-08_Plan_Accion_con_Cuadro_de_Mando_V03%20Preliminar%20DGT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23KQLUMF\DIES-F07-08_Plan_Accion_2019_V01%20aprobado%20public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 val="Plan de Accion Final"/>
      <sheetName val="Hoja2"/>
      <sheetName val="Plan de Accion (2)"/>
      <sheetName val="Plan de Accion"/>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 val="TAB. REF. PA"/>
      <sheetName val="Plan de Accion Final"/>
      <sheetName val="Hoja2"/>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ow r="283">
          <cell r="B283" t="str">
            <v xml:space="preserve">Dirección de Otras Prestaciones  </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5"/>
  <sheetViews>
    <sheetView showGridLines="0" tabSelected="1" zoomScale="80" zoomScaleNormal="80" workbookViewId="0">
      <pane ySplit="8" topLeftCell="A9" activePane="bottomLeft" state="frozen"/>
      <selection pane="bottomLeft" activeCell="B12" sqref="B12"/>
    </sheetView>
  </sheetViews>
  <sheetFormatPr baseColWidth="10" defaultRowHeight="14.25" x14ac:dyDescent="0.2"/>
  <cols>
    <col min="1" max="1" width="17.85546875" style="129" customWidth="1"/>
    <col min="2" max="2" width="30.42578125" style="129" bestFit="1" customWidth="1"/>
    <col min="3" max="3" width="10.28515625" style="131" customWidth="1"/>
    <col min="4" max="5" width="7.85546875" style="131" customWidth="1"/>
    <col min="6" max="6" width="17.5703125" style="129" customWidth="1"/>
    <col min="7" max="7" width="38.28515625" style="129" customWidth="1"/>
    <col min="8" max="8" width="18.5703125" style="129" customWidth="1"/>
    <col min="9" max="9" width="29.140625" style="129" customWidth="1"/>
    <col min="10" max="10" width="15.7109375" style="129" customWidth="1"/>
    <col min="11" max="11" width="26.140625" style="129" customWidth="1"/>
    <col min="12" max="12" width="12.85546875" style="131" customWidth="1"/>
    <col min="13" max="13" width="15.42578125" style="129" customWidth="1"/>
    <col min="14" max="14" width="14.5703125" style="129" customWidth="1"/>
    <col min="15" max="15" width="29.85546875" style="129" customWidth="1"/>
    <col min="16" max="16" width="23.5703125" style="129" customWidth="1"/>
    <col min="17" max="17" width="17.28515625" style="129" customWidth="1"/>
    <col min="18" max="18" width="21.42578125" style="129" customWidth="1"/>
    <col min="19" max="19" width="23.7109375" style="129" customWidth="1"/>
    <col min="20" max="20" width="25.7109375" style="129" customWidth="1"/>
    <col min="21" max="21" width="35" style="129" customWidth="1"/>
    <col min="22" max="22" width="19.85546875" style="129" customWidth="1"/>
    <col min="23" max="23" width="33.7109375" style="129" customWidth="1"/>
    <col min="24" max="24" width="26.5703125" style="129" customWidth="1"/>
    <col min="25" max="25" width="28.28515625" style="129" customWidth="1"/>
    <col min="26" max="26" width="13.140625" style="129" customWidth="1"/>
    <col min="27" max="27" width="35.7109375" style="129" customWidth="1"/>
    <col min="28" max="28" width="27.7109375" style="129" customWidth="1"/>
    <col min="29" max="29" width="18" style="129" customWidth="1"/>
    <col min="30" max="30" width="13.85546875" style="128" customWidth="1"/>
    <col min="31" max="31" width="35.7109375" style="128" customWidth="1"/>
    <col min="32" max="32" width="27.7109375" style="128" customWidth="1"/>
    <col min="33" max="33" width="13.5703125" style="128" customWidth="1"/>
    <col min="34" max="34" width="27.7109375" style="128" customWidth="1"/>
    <col min="35" max="35" width="11.42578125" style="128" customWidth="1"/>
    <col min="36" max="36" width="15.7109375" style="128" customWidth="1"/>
    <col min="37" max="37" width="11.42578125" style="128" customWidth="1"/>
    <col min="38" max="38" width="15.7109375" style="128" customWidth="1"/>
    <col min="39" max="39" width="50.7109375" style="128" customWidth="1"/>
    <col min="40" max="40" width="13.7109375" style="128" customWidth="1"/>
    <col min="41" max="41" width="35.7109375" style="128" customWidth="1"/>
    <col min="42" max="42" width="27.7109375" style="128" customWidth="1"/>
    <col min="43" max="43" width="17.140625" style="128" customWidth="1"/>
    <col min="44" max="44" width="27.7109375" style="128" customWidth="1"/>
    <col min="45" max="45" width="13.7109375" style="128" customWidth="1"/>
    <col min="46" max="46" width="15.7109375" style="128" customWidth="1"/>
    <col min="47" max="47" width="13.7109375" style="128" customWidth="1"/>
    <col min="48" max="48" width="15.7109375" style="128" customWidth="1"/>
    <col min="49" max="49" width="50.7109375" style="128" customWidth="1"/>
    <col min="50" max="50" width="13.7109375" style="128" customWidth="1"/>
    <col min="51" max="51" width="35.7109375" style="128" customWidth="1"/>
    <col min="52" max="52" width="27.7109375" style="128" customWidth="1"/>
    <col min="53" max="53" width="18" style="128" customWidth="1"/>
    <col min="54" max="54" width="27.7109375" style="128" customWidth="1"/>
    <col min="55" max="55" width="13.7109375" style="128" customWidth="1"/>
    <col min="56" max="56" width="15.7109375" style="128" customWidth="1"/>
    <col min="57" max="57" width="13.7109375" style="128" customWidth="1"/>
    <col min="58" max="58" width="15.7109375" style="128" customWidth="1"/>
    <col min="59" max="59" width="50.7109375" style="128" customWidth="1"/>
    <col min="60" max="60" width="13.7109375" style="128" customWidth="1"/>
    <col min="61" max="61" width="35.7109375" style="128" customWidth="1"/>
    <col min="62" max="62" width="27.7109375" style="128" customWidth="1"/>
    <col min="63" max="63" width="13.7109375" style="128" customWidth="1"/>
    <col min="64" max="64" width="27.7109375" style="128" customWidth="1"/>
    <col min="65" max="65" width="13.7109375" style="128" customWidth="1"/>
    <col min="66" max="66" width="15.7109375" style="128" customWidth="1"/>
    <col min="67" max="67" width="13.7109375" style="128" customWidth="1"/>
    <col min="68" max="68" width="15.7109375" style="128" customWidth="1"/>
    <col min="69" max="69" width="50.7109375" style="128" customWidth="1"/>
    <col min="70" max="70" width="13.7109375" style="128" customWidth="1"/>
    <col min="71" max="71" width="15.7109375" style="128" customWidth="1"/>
    <col min="72" max="72" width="15.42578125" style="128" customWidth="1"/>
    <col min="73" max="73" width="15.7109375" style="128" customWidth="1"/>
    <col min="74" max="74" width="13.7109375" style="128" customWidth="1"/>
    <col min="75" max="75" width="15.7109375" style="128" customWidth="1"/>
    <col min="76" max="76" width="13.7109375" style="128" customWidth="1"/>
    <col min="77" max="77" width="15.7109375" style="128" customWidth="1"/>
    <col min="78" max="78" width="17.5703125" style="128" hidden="1" customWidth="1"/>
    <col min="79" max="79" width="19.7109375" style="128" bestFit="1" customWidth="1"/>
    <col min="80" max="16384" width="11.42578125" style="128"/>
  </cols>
  <sheetData>
    <row r="1" spans="1:79" ht="22.5" customHeight="1" x14ac:dyDescent="0.2">
      <c r="A1" s="1217"/>
      <c r="B1" s="1218"/>
      <c r="C1" s="1223" t="s">
        <v>246</v>
      </c>
      <c r="D1" s="1224"/>
      <c r="E1" s="1224"/>
      <c r="F1" s="1224"/>
      <c r="G1" s="1224"/>
      <c r="H1" s="1224"/>
      <c r="I1" s="1224"/>
      <c r="J1" s="1225"/>
      <c r="K1" s="1226" t="s">
        <v>247</v>
      </c>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7"/>
      <c r="BV1" s="1238"/>
      <c r="BW1" s="1239"/>
      <c r="BX1" s="1239"/>
      <c r="BY1" s="1239"/>
    </row>
    <row r="2" spans="1:79" ht="24" customHeight="1" x14ac:dyDescent="0.2">
      <c r="A2" s="1219"/>
      <c r="B2" s="1220"/>
      <c r="C2" s="1244" t="s">
        <v>248</v>
      </c>
      <c r="D2" s="1245"/>
      <c r="E2" s="1245"/>
      <c r="F2" s="1245"/>
      <c r="G2" s="1245"/>
      <c r="H2" s="1245"/>
      <c r="I2" s="1245"/>
      <c r="J2" s="1246"/>
      <c r="K2" s="1247" t="s">
        <v>254</v>
      </c>
      <c r="L2" s="1249" t="s">
        <v>250</v>
      </c>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t="s">
        <v>249</v>
      </c>
      <c r="BU2" s="1251">
        <v>2</v>
      </c>
      <c r="BV2" s="1240"/>
      <c r="BW2" s="1241"/>
      <c r="BX2" s="1241"/>
      <c r="BY2" s="1241"/>
    </row>
    <row r="3" spans="1:79" ht="25.5" customHeight="1" thickBot="1" x14ac:dyDescent="0.25">
      <c r="A3" s="1221"/>
      <c r="B3" s="1222"/>
      <c r="C3" s="1253" t="s">
        <v>242</v>
      </c>
      <c r="D3" s="1254"/>
      <c r="E3" s="1254"/>
      <c r="F3" s="1254"/>
      <c r="G3" s="1254"/>
      <c r="H3" s="1254"/>
      <c r="I3" s="1254"/>
      <c r="J3" s="1255"/>
      <c r="K3" s="1248"/>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2"/>
      <c r="BV3" s="1242"/>
      <c r="BW3" s="1243"/>
      <c r="BX3" s="1243"/>
      <c r="BY3" s="1243"/>
    </row>
    <row r="4" spans="1:79" ht="15" x14ac:dyDescent="0.2">
      <c r="C4" s="129"/>
      <c r="D4" s="129"/>
      <c r="E4" s="129"/>
      <c r="G4" s="130"/>
      <c r="H4" s="130"/>
      <c r="I4" s="130"/>
      <c r="J4" s="130"/>
      <c r="K4" s="130"/>
      <c r="L4" s="130"/>
      <c r="M4" s="130"/>
      <c r="N4" s="130"/>
      <c r="O4" s="130"/>
      <c r="P4" s="130"/>
      <c r="Q4" s="130"/>
      <c r="R4" s="130"/>
    </row>
    <row r="5" spans="1:79" s="77" customFormat="1" ht="12.75" x14ac:dyDescent="0.2">
      <c r="A5" s="133" t="s">
        <v>346</v>
      </c>
      <c r="B5" s="22"/>
      <c r="C5" s="22"/>
      <c r="D5" s="22"/>
      <c r="E5" s="22"/>
      <c r="F5" s="22"/>
      <c r="G5" s="1234"/>
      <c r="H5" s="1234"/>
      <c r="I5" s="1234"/>
      <c r="J5" s="1234"/>
      <c r="K5" s="1234"/>
      <c r="L5" s="1234"/>
      <c r="M5" s="1234"/>
      <c r="N5" s="1234"/>
      <c r="O5" s="1234"/>
      <c r="P5" s="1234"/>
      <c r="Q5" s="1234"/>
      <c r="R5" s="1234"/>
      <c r="S5" s="22"/>
      <c r="T5" s="134"/>
      <c r="U5" s="22"/>
      <c r="V5" s="22"/>
      <c r="W5" s="22"/>
      <c r="X5" s="22"/>
      <c r="Y5" s="22"/>
      <c r="Z5" s="22"/>
      <c r="AA5" s="22"/>
      <c r="AB5" s="22"/>
      <c r="AC5" s="22"/>
    </row>
    <row r="6" spans="1:79" s="77" customFormat="1" ht="13.5" thickBot="1" x14ac:dyDescent="0.25">
      <c r="A6" s="133"/>
      <c r="B6" s="22"/>
      <c r="C6" s="22"/>
      <c r="D6" s="22"/>
      <c r="E6" s="22"/>
      <c r="F6" s="22"/>
      <c r="G6" s="162"/>
      <c r="H6" s="162"/>
      <c r="I6" s="162"/>
      <c r="J6" s="162"/>
      <c r="K6" s="162"/>
      <c r="L6" s="162"/>
      <c r="M6" s="162"/>
      <c r="N6" s="162"/>
      <c r="O6" s="162"/>
      <c r="P6" s="162"/>
      <c r="Q6" s="162"/>
      <c r="R6" s="162"/>
      <c r="S6" s="22"/>
      <c r="T6" s="134"/>
      <c r="U6" s="22"/>
      <c r="V6" s="22"/>
      <c r="W6" s="22"/>
      <c r="X6" s="22"/>
      <c r="Y6" s="22"/>
      <c r="Z6" s="22"/>
      <c r="AA6" s="22"/>
      <c r="AB6" s="22"/>
      <c r="AC6" s="22"/>
    </row>
    <row r="7" spans="1:79" s="77" customFormat="1" ht="30" customHeight="1" thickBot="1" x14ac:dyDescent="0.25">
      <c r="A7" s="1190" t="s">
        <v>30</v>
      </c>
      <c r="B7" s="1192" t="s">
        <v>31</v>
      </c>
      <c r="C7" s="1192" t="s">
        <v>255</v>
      </c>
      <c r="D7" s="1200" t="s">
        <v>255</v>
      </c>
      <c r="E7" s="1200"/>
      <c r="F7" s="1192" t="s">
        <v>57</v>
      </c>
      <c r="G7" s="1192" t="s">
        <v>257</v>
      </c>
      <c r="H7" s="1192" t="s">
        <v>256</v>
      </c>
      <c r="I7" s="1192" t="s">
        <v>258</v>
      </c>
      <c r="J7" s="1192" t="s">
        <v>32</v>
      </c>
      <c r="K7" s="1192" t="s">
        <v>49</v>
      </c>
      <c r="L7" s="1192" t="s">
        <v>35</v>
      </c>
      <c r="M7" s="1192" t="s">
        <v>8</v>
      </c>
      <c r="N7" s="1192" t="s">
        <v>33</v>
      </c>
      <c r="O7" s="1192" t="s">
        <v>50</v>
      </c>
      <c r="P7" s="1192" t="s">
        <v>151</v>
      </c>
      <c r="Q7" s="1192" t="s">
        <v>5</v>
      </c>
      <c r="R7" s="1192" t="s">
        <v>37</v>
      </c>
      <c r="S7" s="1192" t="s">
        <v>36</v>
      </c>
      <c r="T7" s="1192" t="s">
        <v>38</v>
      </c>
      <c r="U7" s="1192" t="s">
        <v>39</v>
      </c>
      <c r="V7" s="1192" t="s">
        <v>6</v>
      </c>
      <c r="W7" s="1197" t="s">
        <v>1253</v>
      </c>
      <c r="X7" s="1192" t="s">
        <v>0</v>
      </c>
      <c r="Y7" s="1192" t="s">
        <v>34</v>
      </c>
      <c r="Z7" s="1192" t="s">
        <v>8</v>
      </c>
      <c r="AA7" s="1192" t="s">
        <v>188</v>
      </c>
      <c r="AB7" s="1192" t="s">
        <v>151</v>
      </c>
      <c r="AC7" s="1273" t="s">
        <v>9</v>
      </c>
      <c r="AD7" s="1229" t="s">
        <v>190</v>
      </c>
      <c r="AE7" s="1229"/>
      <c r="AF7" s="1229"/>
      <c r="AG7" s="1229"/>
      <c r="AH7" s="1229"/>
      <c r="AI7" s="1229"/>
      <c r="AJ7" s="1229"/>
      <c r="AK7" s="1229"/>
      <c r="AL7" s="1229"/>
      <c r="AM7" s="1230"/>
      <c r="AN7" s="1231" t="s">
        <v>192</v>
      </c>
      <c r="AO7" s="1232"/>
      <c r="AP7" s="1232"/>
      <c r="AQ7" s="1232"/>
      <c r="AR7" s="1232"/>
      <c r="AS7" s="1232"/>
      <c r="AT7" s="1232"/>
      <c r="AU7" s="1232"/>
      <c r="AV7" s="1232"/>
      <c r="AW7" s="1233"/>
      <c r="AX7" s="1228" t="s">
        <v>191</v>
      </c>
      <c r="AY7" s="1229"/>
      <c r="AZ7" s="1229"/>
      <c r="BA7" s="1229"/>
      <c r="BB7" s="1229"/>
      <c r="BC7" s="1229"/>
      <c r="BD7" s="1229"/>
      <c r="BE7" s="1229"/>
      <c r="BF7" s="1229"/>
      <c r="BG7" s="1230"/>
      <c r="BH7" s="1231" t="s">
        <v>193</v>
      </c>
      <c r="BI7" s="1232"/>
      <c r="BJ7" s="1232"/>
      <c r="BK7" s="1232"/>
      <c r="BL7" s="1232"/>
      <c r="BM7" s="1232"/>
      <c r="BN7" s="1232"/>
      <c r="BO7" s="1232"/>
      <c r="BP7" s="1232"/>
      <c r="BQ7" s="1233"/>
      <c r="BR7" s="1235" t="s">
        <v>1147</v>
      </c>
      <c r="BS7" s="1236"/>
      <c r="BT7" s="1236"/>
      <c r="BU7" s="1236"/>
      <c r="BV7" s="1236"/>
      <c r="BW7" s="1236"/>
      <c r="BX7" s="1236"/>
      <c r="BY7" s="1237"/>
    </row>
    <row r="8" spans="1:79" s="161" customFormat="1" ht="39.75" customHeight="1" x14ac:dyDescent="0.2">
      <c r="A8" s="1191"/>
      <c r="B8" s="1193"/>
      <c r="C8" s="1193"/>
      <c r="D8" s="681">
        <v>2</v>
      </c>
      <c r="E8" s="681">
        <v>3</v>
      </c>
      <c r="F8" s="1193"/>
      <c r="G8" s="1193"/>
      <c r="H8" s="1193"/>
      <c r="I8" s="1193"/>
      <c r="J8" s="1193"/>
      <c r="K8" s="1193"/>
      <c r="L8" s="1193"/>
      <c r="M8" s="1193"/>
      <c r="N8" s="1193"/>
      <c r="O8" s="1193"/>
      <c r="P8" s="1193"/>
      <c r="Q8" s="1193"/>
      <c r="R8" s="1193"/>
      <c r="S8" s="1193"/>
      <c r="T8" s="1193"/>
      <c r="U8" s="1193"/>
      <c r="V8" s="1193"/>
      <c r="W8" s="1198"/>
      <c r="X8" s="1193"/>
      <c r="Y8" s="1193"/>
      <c r="Z8" s="1193"/>
      <c r="AA8" s="1193"/>
      <c r="AB8" s="1193"/>
      <c r="AC8" s="1274"/>
      <c r="AD8" s="166" t="s">
        <v>8</v>
      </c>
      <c r="AE8" s="140" t="s">
        <v>50</v>
      </c>
      <c r="AF8" s="140" t="s">
        <v>151</v>
      </c>
      <c r="AG8" s="140" t="s">
        <v>8</v>
      </c>
      <c r="AH8" s="140" t="s">
        <v>151</v>
      </c>
      <c r="AI8" s="140" t="s">
        <v>7</v>
      </c>
      <c r="AJ8" s="140" t="s">
        <v>10</v>
      </c>
      <c r="AK8" s="140" t="s">
        <v>7</v>
      </c>
      <c r="AL8" s="140" t="s">
        <v>10</v>
      </c>
      <c r="AM8" s="140" t="s">
        <v>189</v>
      </c>
      <c r="AN8" s="137" t="s">
        <v>8</v>
      </c>
      <c r="AO8" s="137" t="s">
        <v>50</v>
      </c>
      <c r="AP8" s="137" t="s">
        <v>151</v>
      </c>
      <c r="AQ8" s="137" t="s">
        <v>8</v>
      </c>
      <c r="AR8" s="137" t="s">
        <v>151</v>
      </c>
      <c r="AS8" s="137" t="s">
        <v>7</v>
      </c>
      <c r="AT8" s="137" t="s">
        <v>10</v>
      </c>
      <c r="AU8" s="137" t="s">
        <v>7</v>
      </c>
      <c r="AV8" s="137" t="s">
        <v>10</v>
      </c>
      <c r="AW8" s="137" t="s">
        <v>189</v>
      </c>
      <c r="AX8" s="140" t="s">
        <v>8</v>
      </c>
      <c r="AY8" s="140" t="s">
        <v>50</v>
      </c>
      <c r="AZ8" s="140" t="s">
        <v>151</v>
      </c>
      <c r="BA8" s="140" t="s">
        <v>8</v>
      </c>
      <c r="BB8" s="140" t="s">
        <v>151</v>
      </c>
      <c r="BC8" s="140" t="s">
        <v>7</v>
      </c>
      <c r="BD8" s="140" t="s">
        <v>10</v>
      </c>
      <c r="BE8" s="140" t="s">
        <v>7</v>
      </c>
      <c r="BF8" s="140" t="s">
        <v>10</v>
      </c>
      <c r="BG8" s="140" t="s">
        <v>189</v>
      </c>
      <c r="BH8" s="137" t="s">
        <v>8</v>
      </c>
      <c r="BI8" s="137" t="s">
        <v>50</v>
      </c>
      <c r="BJ8" s="137" t="s">
        <v>151</v>
      </c>
      <c r="BK8" s="137" t="s">
        <v>8</v>
      </c>
      <c r="BL8" s="137" t="s">
        <v>151</v>
      </c>
      <c r="BM8" s="137" t="s">
        <v>7</v>
      </c>
      <c r="BN8" s="137" t="s">
        <v>10</v>
      </c>
      <c r="BO8" s="137" t="s">
        <v>7</v>
      </c>
      <c r="BP8" s="137" t="s">
        <v>10</v>
      </c>
      <c r="BQ8" s="137" t="s">
        <v>189</v>
      </c>
      <c r="BR8" s="141" t="s">
        <v>7</v>
      </c>
      <c r="BS8" s="141" t="s">
        <v>10</v>
      </c>
      <c r="BT8" s="141" t="s">
        <v>7</v>
      </c>
      <c r="BU8" s="141" t="s">
        <v>10</v>
      </c>
      <c r="BV8" s="141" t="s">
        <v>7</v>
      </c>
      <c r="BW8" s="141" t="s">
        <v>10</v>
      </c>
      <c r="BX8" s="141" t="s">
        <v>7</v>
      </c>
      <c r="BY8" s="141" t="s">
        <v>10</v>
      </c>
    </row>
    <row r="9" spans="1:79" s="576" customFormat="1" ht="96" hidden="1" customHeight="1" x14ac:dyDescent="0.2">
      <c r="A9" s="771">
        <v>11500</v>
      </c>
      <c r="B9" s="772" t="s">
        <v>13</v>
      </c>
      <c r="C9" s="772" t="s">
        <v>330</v>
      </c>
      <c r="D9" s="773" t="s">
        <v>1017</v>
      </c>
      <c r="E9" s="773" t="s">
        <v>1017</v>
      </c>
      <c r="F9" s="774" t="s">
        <v>95</v>
      </c>
      <c r="G9" s="991" t="s">
        <v>345</v>
      </c>
      <c r="H9" s="774" t="s">
        <v>110</v>
      </c>
      <c r="I9" s="772" t="s">
        <v>339</v>
      </c>
      <c r="J9" s="1290" t="s">
        <v>562</v>
      </c>
      <c r="K9" s="1278" t="s">
        <v>1461</v>
      </c>
      <c r="L9" s="699" t="s">
        <v>51</v>
      </c>
      <c r="M9" s="710">
        <v>1</v>
      </c>
      <c r="N9" s="1215" t="s">
        <v>109</v>
      </c>
      <c r="O9" s="1212" t="s">
        <v>1460</v>
      </c>
      <c r="P9" s="1287">
        <v>40053470870</v>
      </c>
      <c r="Q9" s="1292">
        <v>1</v>
      </c>
      <c r="R9" s="1278" t="s">
        <v>17</v>
      </c>
      <c r="S9" s="1278" t="s">
        <v>26</v>
      </c>
      <c r="T9" s="1278" t="s">
        <v>629</v>
      </c>
      <c r="U9" s="1278" t="s">
        <v>632</v>
      </c>
      <c r="V9" s="1278" t="s">
        <v>71</v>
      </c>
      <c r="W9" s="1278" t="s">
        <v>1260</v>
      </c>
      <c r="X9" s="696" t="s">
        <v>1744</v>
      </c>
      <c r="Y9" s="1212" t="s">
        <v>204</v>
      </c>
      <c r="Z9" s="755">
        <v>1</v>
      </c>
      <c r="AA9" s="1212" t="str">
        <f>+O9</f>
        <v>Validar la auditoría de los precierres de paquetes de recobros y reclamaciones entregados por la firma auditora. partir de enero de 2019</v>
      </c>
      <c r="AB9" s="1281">
        <f>+P9</f>
        <v>40053470870</v>
      </c>
      <c r="AC9" s="701" t="s">
        <v>46</v>
      </c>
      <c r="AD9" s="703">
        <v>0.25</v>
      </c>
      <c r="AE9" s="1212" t="str">
        <f>+AA9</f>
        <v>Validar la auditoría de los precierres de paquetes de recobros y reclamaciones entregados por la firma auditora. partir de enero de 2019</v>
      </c>
      <c r="AF9" s="1269">
        <f>+AB9/4</f>
        <v>10013367717.5</v>
      </c>
      <c r="AG9" s="756">
        <f>(109/7949088)*AD9</f>
        <v>3.4280662133819627E-6</v>
      </c>
      <c r="AH9" s="1284">
        <v>0</v>
      </c>
      <c r="AI9" s="763">
        <f>+(AG9/AD9)</f>
        <v>1.3712264853527851E-5</v>
      </c>
      <c r="AJ9" s="1194">
        <f>+(AH9/AF9)</f>
        <v>0</v>
      </c>
      <c r="AK9" s="763">
        <f>+(AG9/Z9)</f>
        <v>3.4280662133819627E-6</v>
      </c>
      <c r="AL9" s="1194">
        <f>+(AH9/AB9)</f>
        <v>0</v>
      </c>
      <c r="AM9" s="757" t="s">
        <v>1316</v>
      </c>
      <c r="AN9" s="703">
        <v>0.25</v>
      </c>
      <c r="AO9" s="1212" t="str">
        <f>+AA9</f>
        <v>Validar la auditoría de los precierres de paquetes de recobros y reclamaciones entregados por la firma auditora. partir de enero de 2019</v>
      </c>
      <c r="AP9" s="1269">
        <f>+AB9/4</f>
        <v>10013367717.5</v>
      </c>
      <c r="AQ9" s="758"/>
      <c r="AR9" s="1269">
        <v>0</v>
      </c>
      <c r="AS9" s="763">
        <f>+(AQ9/AN9)</f>
        <v>0</v>
      </c>
      <c r="AT9" s="1194">
        <f>+(AR9/AP9)</f>
        <v>0</v>
      </c>
      <c r="AU9" s="763">
        <f>+(AQ9+AG9)/Z9</f>
        <v>3.4280662133819627E-6</v>
      </c>
      <c r="AV9" s="1194">
        <f>+(AR9+AH9)/AB9</f>
        <v>0</v>
      </c>
      <c r="AW9" s="759"/>
      <c r="AX9" s="703">
        <v>0.25</v>
      </c>
      <c r="AY9" s="1212" t="str">
        <f>+AA9</f>
        <v>Validar la auditoría de los precierres de paquetes de recobros y reclamaciones entregados por la firma auditora. partir de enero de 2019</v>
      </c>
      <c r="AZ9" s="1269">
        <f>+AB9/4</f>
        <v>10013367717.5</v>
      </c>
      <c r="BA9" s="709"/>
      <c r="BB9" s="709"/>
      <c r="BC9" s="763">
        <f>+(BA9/AX9)</f>
        <v>0</v>
      </c>
      <c r="BD9" s="1194">
        <f>+(BB9/AZ9)</f>
        <v>0</v>
      </c>
      <c r="BE9" s="763">
        <f>+(AQ9+AG9+BA9)/Z9</f>
        <v>3.4280662133819627E-6</v>
      </c>
      <c r="BF9" s="1194">
        <f>+(AR9+AH9+BB9)/AB9</f>
        <v>0</v>
      </c>
      <c r="BG9" s="705"/>
      <c r="BH9" s="703">
        <v>0.25</v>
      </c>
      <c r="BI9" s="1212" t="str">
        <f>+AA9</f>
        <v>Validar la auditoría de los precierres de paquetes de recobros y reclamaciones entregados por la firma auditora. partir de enero de 2019</v>
      </c>
      <c r="BJ9" s="1269">
        <f>+AB9/4</f>
        <v>10013367717.5</v>
      </c>
      <c r="BK9" s="709"/>
      <c r="BL9" s="709"/>
      <c r="BM9" s="763">
        <f>+(BK9/BH9)</f>
        <v>0</v>
      </c>
      <c r="BN9" s="1194">
        <f>+(BL9/BJ9)</f>
        <v>0</v>
      </c>
      <c r="BO9" s="763">
        <f>+(AQ9+AG9+BA9+BK9)/Z9</f>
        <v>3.4280662133819627E-6</v>
      </c>
      <c r="BP9" s="1194">
        <f>+(AR9+AH9+BB9+BL9)/AB9</f>
        <v>0</v>
      </c>
      <c r="BQ9" s="755"/>
      <c r="BR9" s="764">
        <f>IF(AND(AD9=0,AG9=0),"No Prog ni Ejec",IF(AD9=0,CONCATENATE("No Prog, Ejec=  ",AG9),AG9/AD9))</f>
        <v>1.3712264853527851E-5</v>
      </c>
      <c r="BS9" s="1264">
        <f>IF(AND(AF9=0,AH9=0),"No Prog ni Ejec",IF(AF9=0,CONCATENATE("No Prog, Ejec=  ",AH9),AH9/AF9))</f>
        <v>0</v>
      </c>
      <c r="BT9" s="764">
        <f>IF(AND(AN9=0,AQ9=0),"No Prog ni Ejec",IF(AN9=0,CONCATENATE("No Prog, Ejec=  ",AQ9),AQ9/AN9))</f>
        <v>0</v>
      </c>
      <c r="BU9" s="1264">
        <f>IF(AND(AP9=0,AR9=0),"No Prog ni Ejec",IF(AP9=0,CONCATENATE("No Prog, Ejec=  ",AR9),AR9/AP9))</f>
        <v>0</v>
      </c>
      <c r="BV9" s="764">
        <f>IF(AND(AX9=0,BA9=0),"No Prog ni Ejec",IF(AX9=0,CONCATENATE("No Prog, Ejec=  ",BA9),BA9/AX9))</f>
        <v>0</v>
      </c>
      <c r="BW9" s="1264">
        <f>IF(AND(AZ9=0,BB9=0),"No Prog ni Ejec",IF(AZ9=0,CONCATENATE("No Prog, Ejec=  ",BB9),BB9/AZ9))</f>
        <v>0</v>
      </c>
      <c r="BX9" s="764">
        <f>IF(AND(BH9=0,BK9=0),"No Prog ni Ejec",IF(BH9=0,CONCATENATE("No Prog, Ejec=  ",BK9),BK9/BH9))</f>
        <v>0</v>
      </c>
      <c r="BY9" s="1266">
        <f>IF(AND(BJ9=0,BL9=0),"No Prog ni Ejec",IF(BJ9=0,CONCATENATE("No Prog, Ejec=  ",BL9),BL9/BJ9))</f>
        <v>0</v>
      </c>
      <c r="BZ9" s="760">
        <f>+AB9-AF9-AP9-AZ9-BJ9</f>
        <v>0</v>
      </c>
      <c r="CA9" s="760">
        <f>+P9-AF9-AP9-AZ9-BJ9</f>
        <v>0</v>
      </c>
    </row>
    <row r="10" spans="1:79" s="576" customFormat="1" ht="96" hidden="1" customHeight="1" x14ac:dyDescent="0.2">
      <c r="A10" s="833">
        <v>11500</v>
      </c>
      <c r="B10" s="829" t="s">
        <v>13</v>
      </c>
      <c r="C10" s="829" t="s">
        <v>330</v>
      </c>
      <c r="D10" s="845" t="s">
        <v>1017</v>
      </c>
      <c r="E10" s="845" t="s">
        <v>1017</v>
      </c>
      <c r="F10" s="834" t="s">
        <v>95</v>
      </c>
      <c r="G10" s="991" t="s">
        <v>345</v>
      </c>
      <c r="H10" s="834" t="s">
        <v>110</v>
      </c>
      <c r="I10" s="829" t="s">
        <v>339</v>
      </c>
      <c r="J10" s="1291"/>
      <c r="K10" s="1279"/>
      <c r="L10" s="642" t="s">
        <v>51</v>
      </c>
      <c r="M10" s="765" t="s">
        <v>1074</v>
      </c>
      <c r="N10" s="1216"/>
      <c r="O10" s="1213"/>
      <c r="P10" s="1288"/>
      <c r="Q10" s="1293"/>
      <c r="R10" s="1279"/>
      <c r="S10" s="1279"/>
      <c r="T10" s="1279"/>
      <c r="U10" s="1279"/>
      <c r="V10" s="1279"/>
      <c r="W10" s="1279"/>
      <c r="X10" s="643" t="s">
        <v>1745</v>
      </c>
      <c r="Y10" s="1213"/>
      <c r="Z10" s="762" t="s">
        <v>1074</v>
      </c>
      <c r="AA10" s="1213"/>
      <c r="AB10" s="1282"/>
      <c r="AC10" s="579" t="s">
        <v>46</v>
      </c>
      <c r="AD10" s="762" t="s">
        <v>1074</v>
      </c>
      <c r="AE10" s="1213"/>
      <c r="AF10" s="1270"/>
      <c r="AG10" s="770">
        <v>0</v>
      </c>
      <c r="AH10" s="1285"/>
      <c r="AI10" s="832" t="e">
        <f>+(AG10/AD10)</f>
        <v>#VALUE!</v>
      </c>
      <c r="AJ10" s="1195"/>
      <c r="AK10" s="832" t="e">
        <f>+(AG10/Z10)</f>
        <v>#VALUE!</v>
      </c>
      <c r="AL10" s="1195"/>
      <c r="AM10" s="767" t="s">
        <v>1317</v>
      </c>
      <c r="AN10" s="580" t="s">
        <v>1074</v>
      </c>
      <c r="AO10" s="1213"/>
      <c r="AP10" s="1270"/>
      <c r="AQ10" s="768"/>
      <c r="AR10" s="1270"/>
      <c r="AS10" s="832" t="e">
        <f>+(AQ10/AN10)</f>
        <v>#VALUE!</v>
      </c>
      <c r="AT10" s="1195"/>
      <c r="AU10" s="832" t="e">
        <f>+(AQ10+AG10)/Z10</f>
        <v>#VALUE!</v>
      </c>
      <c r="AV10" s="1195"/>
      <c r="AW10" s="761"/>
      <c r="AX10" s="580" t="s">
        <v>1074</v>
      </c>
      <c r="AY10" s="1213"/>
      <c r="AZ10" s="1270"/>
      <c r="BA10" s="769"/>
      <c r="BB10" s="769"/>
      <c r="BC10" s="832" t="e">
        <f>+(BA10/AX10)</f>
        <v>#VALUE!</v>
      </c>
      <c r="BD10" s="1195"/>
      <c r="BE10" s="832" t="e">
        <f>+(AQ10+AG10+BA10)/Z10</f>
        <v>#VALUE!</v>
      </c>
      <c r="BF10" s="1195"/>
      <c r="BG10" s="762"/>
      <c r="BH10" s="580" t="s">
        <v>1074</v>
      </c>
      <c r="BI10" s="1213"/>
      <c r="BJ10" s="1270"/>
      <c r="BK10" s="769"/>
      <c r="BL10" s="769"/>
      <c r="BM10" s="832" t="e">
        <f>+(BK10/BH10)</f>
        <v>#VALUE!</v>
      </c>
      <c r="BN10" s="1195"/>
      <c r="BO10" s="832" t="e">
        <f>+(AQ10+AG10+BA10+BK10)/Z10</f>
        <v>#VALUE!</v>
      </c>
      <c r="BP10" s="1195"/>
      <c r="BQ10" s="766"/>
      <c r="BR10" s="633" t="e">
        <f>IF(AND(AD10=0,AG10=0),"No Prog ni Ejec",IF(AD10=0,CONCATENATE("No Prog, Ejec=  ",AG10),AG10/AD10))</f>
        <v>#VALUE!</v>
      </c>
      <c r="BS10" s="1265"/>
      <c r="BT10" s="633" t="e">
        <f>IF(AND(AN10=0,AQ10=0),"No Prog ni Ejec",IF(AN10=0,CONCATENATE("No Prog, Ejec=  ",AQ10),AQ10/AN10))</f>
        <v>#VALUE!</v>
      </c>
      <c r="BU10" s="1265"/>
      <c r="BV10" s="633" t="e">
        <f>IF(AND(AX10=0,BA10=0),"No Prog ni Ejec",IF(AX10=0,CONCATENATE("No Prog, Ejec=  ",BA10),BA10/AX10))</f>
        <v>#VALUE!</v>
      </c>
      <c r="BW10" s="1265"/>
      <c r="BX10" s="633" t="e">
        <f>IF(AND(BH10=0,BK10=0),"No Prog ni Ejec",IF(BH10=0,CONCATENATE("No Prog, Ejec=  ",BK10),BK10/BH10))</f>
        <v>#VALUE!</v>
      </c>
      <c r="BY10" s="1267"/>
      <c r="BZ10" s="760"/>
      <c r="CA10" s="760">
        <f t="shared" ref="CA10:CA20" si="0">+P10-AF10-AP10-AZ10-BJ10</f>
        <v>0</v>
      </c>
    </row>
    <row r="11" spans="1:79" s="77" customFormat="1" ht="142.5" customHeight="1" x14ac:dyDescent="0.2">
      <c r="A11" s="813">
        <v>11500</v>
      </c>
      <c r="B11" s="806" t="s">
        <v>13</v>
      </c>
      <c r="C11" s="806" t="s">
        <v>330</v>
      </c>
      <c r="D11" s="822" t="s">
        <v>1017</v>
      </c>
      <c r="E11" s="822" t="s">
        <v>1017</v>
      </c>
      <c r="F11" s="814" t="s">
        <v>95</v>
      </c>
      <c r="G11" s="990" t="s">
        <v>345</v>
      </c>
      <c r="H11" s="814" t="s">
        <v>110</v>
      </c>
      <c r="I11" s="806" t="s">
        <v>339</v>
      </c>
      <c r="J11" s="1291"/>
      <c r="K11" s="1279"/>
      <c r="L11" s="817" t="s">
        <v>1073</v>
      </c>
      <c r="M11" s="873">
        <v>0.75</v>
      </c>
      <c r="N11" s="1216"/>
      <c r="O11" s="1213"/>
      <c r="P11" s="1288"/>
      <c r="Q11" s="1293"/>
      <c r="R11" s="1279"/>
      <c r="S11" s="1279"/>
      <c r="T11" s="1279"/>
      <c r="U11" s="1279"/>
      <c r="V11" s="1279"/>
      <c r="W11" s="1279"/>
      <c r="X11" s="821" t="s">
        <v>1462</v>
      </c>
      <c r="Y11" s="1213"/>
      <c r="Z11" s="752">
        <v>0.75</v>
      </c>
      <c r="AA11" s="1213"/>
      <c r="AB11" s="1282"/>
      <c r="AC11" s="163" t="s">
        <v>46</v>
      </c>
      <c r="AD11" s="874" t="s">
        <v>204</v>
      </c>
      <c r="AE11" s="1213"/>
      <c r="AF11" s="1270"/>
      <c r="AG11" s="753" t="s">
        <v>204</v>
      </c>
      <c r="AH11" s="1285"/>
      <c r="AI11" s="807" t="e">
        <f>+(AG11/AD11)</f>
        <v>#VALUE!</v>
      </c>
      <c r="AJ11" s="1195"/>
      <c r="AK11" s="621" t="e">
        <f>+(AG11/Z11)</f>
        <v>#VALUE!</v>
      </c>
      <c r="AL11" s="1195"/>
      <c r="AM11" s="754"/>
      <c r="AN11" s="874">
        <v>0.25</v>
      </c>
      <c r="AO11" s="1213"/>
      <c r="AP11" s="1270"/>
      <c r="AQ11" s="622">
        <f>(3/3)*25%</f>
        <v>0.25</v>
      </c>
      <c r="AR11" s="1270"/>
      <c r="AS11" s="621">
        <f>+(AQ11/AN11)</f>
        <v>1</v>
      </c>
      <c r="AT11" s="1195"/>
      <c r="AU11" s="621">
        <f>+(AQ11)/Z11</f>
        <v>0.33333333333333331</v>
      </c>
      <c r="AV11" s="1195"/>
      <c r="AW11" s="786" t="s">
        <v>1679</v>
      </c>
      <c r="AX11" s="874">
        <v>0.25</v>
      </c>
      <c r="AY11" s="1213"/>
      <c r="AZ11" s="1270"/>
      <c r="BA11" s="622">
        <f>(2/2)*25%</f>
        <v>0.25</v>
      </c>
      <c r="BB11" s="1275">
        <v>0</v>
      </c>
      <c r="BC11" s="621">
        <f>+(BA11/AX11)</f>
        <v>1</v>
      </c>
      <c r="BD11" s="1195"/>
      <c r="BE11" s="621">
        <f>+(AQ11+BA11)/Z11</f>
        <v>0.66666666666666663</v>
      </c>
      <c r="BF11" s="1195"/>
      <c r="BG11" s="934" t="s">
        <v>1832</v>
      </c>
      <c r="BH11" s="874">
        <v>0.25</v>
      </c>
      <c r="BI11" s="1213"/>
      <c r="BJ11" s="1270"/>
      <c r="BK11" s="1068" t="e">
        <f>0/0</f>
        <v>#DIV/0!</v>
      </c>
      <c r="BL11" s="1085">
        <v>0</v>
      </c>
      <c r="BM11" s="807" t="e">
        <f>+(BK11/BH11)</f>
        <v>#DIV/0!</v>
      </c>
      <c r="BN11" s="1195"/>
      <c r="BO11" s="807">
        <f>+(AQ11+BA11)/Z11</f>
        <v>0.66666666666666663</v>
      </c>
      <c r="BP11" s="1195"/>
      <c r="BQ11" s="786" t="s">
        <v>2006</v>
      </c>
      <c r="BR11" s="633" t="e">
        <f>IF(AND(AD11=0,AG11=0),"No Prog ni Ejec",IF(AD11=0,CONCATENATE("No Prog, Ejec=  ",AG11),AG11/AD11))</f>
        <v>#VALUE!</v>
      </c>
      <c r="BS11" s="1265"/>
      <c r="BT11" s="633">
        <f>IF(AND(AN11=0,AQ11=0),"No Prog ni Ejec",IF(AN11=0,CONCATENATE("No Prog, Ejec=  ",AQ11),AQ11/AN11))</f>
        <v>1</v>
      </c>
      <c r="BU11" s="1265"/>
      <c r="BV11" s="633">
        <f>IF(AND(AX11=0,BA11=0),"No Prog ni Ejec",IF(AX11=0,CONCATENATE("No Prog, Ejec=  ",BA11),BA11/AX11))</f>
        <v>1</v>
      </c>
      <c r="BW11" s="1265"/>
      <c r="BX11" s="633" t="e">
        <f>IF(AND(BH11=0,BK11=0),"No Prog ni Ejec",IF(BH11=0,CONCATENATE("No Prog, Ejec=  ",BK11),BK11/BH11))</f>
        <v>#DIV/0!</v>
      </c>
      <c r="BY11" s="1267"/>
      <c r="BZ11" s="148"/>
      <c r="CA11" s="760">
        <f t="shared" si="0"/>
        <v>0</v>
      </c>
    </row>
    <row r="12" spans="1:79" s="77" customFormat="1" ht="121.5" customHeight="1" x14ac:dyDescent="0.2">
      <c r="A12" s="813">
        <v>11500</v>
      </c>
      <c r="B12" s="806" t="s">
        <v>13</v>
      </c>
      <c r="C12" s="806" t="s">
        <v>330</v>
      </c>
      <c r="D12" s="822" t="s">
        <v>1017</v>
      </c>
      <c r="E12" s="822" t="s">
        <v>1017</v>
      </c>
      <c r="F12" s="814" t="s">
        <v>95</v>
      </c>
      <c r="G12" s="990" t="s">
        <v>345</v>
      </c>
      <c r="H12" s="814" t="s">
        <v>110</v>
      </c>
      <c r="I12" s="806" t="s">
        <v>339</v>
      </c>
      <c r="J12" s="1214"/>
      <c r="K12" s="1280"/>
      <c r="L12" s="817" t="s">
        <v>1073</v>
      </c>
      <c r="M12" s="805">
        <v>0.75</v>
      </c>
      <c r="N12" s="1210"/>
      <c r="O12" s="1201"/>
      <c r="P12" s="1289"/>
      <c r="Q12" s="1294"/>
      <c r="R12" s="1280"/>
      <c r="S12" s="1280"/>
      <c r="T12" s="1280"/>
      <c r="U12" s="1280"/>
      <c r="V12" s="1280"/>
      <c r="W12" s="1280"/>
      <c r="X12" s="806" t="s">
        <v>1463</v>
      </c>
      <c r="Y12" s="1201"/>
      <c r="Z12" s="805">
        <v>0.75</v>
      </c>
      <c r="AA12" s="1201"/>
      <c r="AB12" s="1283"/>
      <c r="AC12" s="836" t="s">
        <v>46</v>
      </c>
      <c r="AD12" s="805" t="s">
        <v>204</v>
      </c>
      <c r="AE12" s="1201"/>
      <c r="AF12" s="1256"/>
      <c r="AG12" s="460" t="s">
        <v>204</v>
      </c>
      <c r="AH12" s="1286"/>
      <c r="AI12" s="807" t="e">
        <f>+(AG12/AD12)</f>
        <v>#VALUE!</v>
      </c>
      <c r="AJ12" s="1196"/>
      <c r="AK12" s="807" t="e">
        <f>+(AG12/Z12)</f>
        <v>#VALUE!</v>
      </c>
      <c r="AL12" s="1196"/>
      <c r="AM12" s="463"/>
      <c r="AN12" s="805">
        <v>0.25</v>
      </c>
      <c r="AO12" s="1201"/>
      <c r="AP12" s="1256"/>
      <c r="AQ12" s="827">
        <f>(13/13)*25%</f>
        <v>0.25</v>
      </c>
      <c r="AR12" s="1256"/>
      <c r="AS12" s="807">
        <f>+(AQ12/AN12)</f>
        <v>1</v>
      </c>
      <c r="AT12" s="1196"/>
      <c r="AU12" s="807">
        <f>+(AQ12)/Z12</f>
        <v>0.33333333333333331</v>
      </c>
      <c r="AV12" s="1196"/>
      <c r="AW12" s="808" t="s">
        <v>1680</v>
      </c>
      <c r="AX12" s="805">
        <v>0.25</v>
      </c>
      <c r="AY12" s="1201"/>
      <c r="AZ12" s="1256"/>
      <c r="BA12" s="924">
        <f>(34/37)*25%</f>
        <v>0.22972972972972974</v>
      </c>
      <c r="BB12" s="1276"/>
      <c r="BC12" s="807">
        <f>+(BA12/AX12)</f>
        <v>0.91891891891891897</v>
      </c>
      <c r="BD12" s="1196"/>
      <c r="BE12" s="807">
        <f>+(AQ12+BA12)/Z12</f>
        <v>0.63963963963963966</v>
      </c>
      <c r="BF12" s="1196"/>
      <c r="BG12" s="459" t="s">
        <v>1833</v>
      </c>
      <c r="BH12" s="805">
        <v>0.25</v>
      </c>
      <c r="BI12" s="1201"/>
      <c r="BJ12" s="1256"/>
      <c r="BK12" s="1063">
        <f>(7/7)*25%</f>
        <v>0.25</v>
      </c>
      <c r="BL12" s="1271">
        <v>0</v>
      </c>
      <c r="BM12" s="807">
        <f>+(BK12/BH12)</f>
        <v>1</v>
      </c>
      <c r="BN12" s="1196"/>
      <c r="BO12" s="807">
        <f>+(AQ12+BA12+BK12)/Z12</f>
        <v>0.97297297297297292</v>
      </c>
      <c r="BP12" s="1196"/>
      <c r="BQ12" s="1069" t="s">
        <v>2007</v>
      </c>
      <c r="BR12" s="631" t="e">
        <f>IF(AND(AD12=0,AG12=0),"No Prog ni Ejec",IF(AD12=0,CONCATENATE("No Prog, Ejec=  ",AG12),AG12/AD12))</f>
        <v>#VALUE!</v>
      </c>
      <c r="BS12" s="1208"/>
      <c r="BT12" s="631">
        <f>IF(AND(AN12=0,AQ12=0),"No Prog ni Ejec",IF(AN12=0,CONCATENATE("No Prog, Ejec=  ",AQ12),AQ12/AN12))</f>
        <v>1</v>
      </c>
      <c r="BU12" s="1208"/>
      <c r="BV12" s="631">
        <f>IF(AND(AX12=0,BA12=0),"No Prog ni Ejec",IF(AX12=0,CONCATENATE("No Prog, Ejec=  ",BA12),BA12/AX12))</f>
        <v>0.91891891891891897</v>
      </c>
      <c r="BW12" s="1208"/>
      <c r="BX12" s="631">
        <f>IF(AND(BH12=0,BK12=0),"No Prog ni Ejec",IF(BH12=0,CONCATENATE("No Prog, Ejec=  ",BK12),BK12/BH12))</f>
        <v>1</v>
      </c>
      <c r="BY12" s="1268"/>
      <c r="BZ12" s="148">
        <f t="shared" ref="BZ12:BZ38" si="1">+AB12-AF12-AP12-AZ12-BJ12</f>
        <v>0</v>
      </c>
      <c r="CA12" s="760">
        <f t="shared" si="0"/>
        <v>0</v>
      </c>
    </row>
    <row r="13" spans="1:79" s="77" customFormat="1" ht="155.25" customHeight="1" x14ac:dyDescent="0.2">
      <c r="A13" s="813">
        <v>11500</v>
      </c>
      <c r="B13" s="806" t="s">
        <v>13</v>
      </c>
      <c r="C13" s="806" t="s">
        <v>330</v>
      </c>
      <c r="D13" s="822" t="s">
        <v>1017</v>
      </c>
      <c r="E13" s="822" t="s">
        <v>1017</v>
      </c>
      <c r="F13" s="814" t="s">
        <v>95</v>
      </c>
      <c r="G13" s="990" t="s">
        <v>345</v>
      </c>
      <c r="H13" s="814" t="s">
        <v>110</v>
      </c>
      <c r="I13" s="806" t="s">
        <v>339</v>
      </c>
      <c r="J13" s="1214"/>
      <c r="K13" s="1280"/>
      <c r="L13" s="817" t="s">
        <v>390</v>
      </c>
      <c r="M13" s="66">
        <v>6</v>
      </c>
      <c r="N13" s="814" t="s">
        <v>1467</v>
      </c>
      <c r="O13" s="806" t="s">
        <v>1468</v>
      </c>
      <c r="P13" s="1289"/>
      <c r="Q13" s="1294"/>
      <c r="R13" s="1280"/>
      <c r="S13" s="1280"/>
      <c r="T13" s="1280"/>
      <c r="U13" s="1280"/>
      <c r="V13" s="1280"/>
      <c r="W13" s="1280"/>
      <c r="X13" s="806" t="s">
        <v>1469</v>
      </c>
      <c r="Y13" s="806" t="s">
        <v>204</v>
      </c>
      <c r="Z13" s="66">
        <v>6</v>
      </c>
      <c r="AA13" s="806" t="str">
        <f>+O13</f>
        <v>Efectuar seguimiento a la entrega de paquetes de recobros y reclamaciones.</v>
      </c>
      <c r="AB13" s="1283"/>
      <c r="AC13" s="836" t="s">
        <v>46</v>
      </c>
      <c r="AD13" s="66" t="s">
        <v>204</v>
      </c>
      <c r="AE13" s="806" t="str">
        <f>+AA13</f>
        <v>Efectuar seguimiento a la entrega de paquetes de recobros y reclamaciones.</v>
      </c>
      <c r="AF13" s="1256"/>
      <c r="AG13" s="461" t="s">
        <v>204</v>
      </c>
      <c r="AH13" s="1286"/>
      <c r="AI13" s="807" t="e">
        <f t="shared" ref="AI13" si="2">+(AG13/AD13)</f>
        <v>#VALUE!</v>
      </c>
      <c r="AJ13" s="1196"/>
      <c r="AK13" s="807" t="e">
        <f t="shared" ref="AK13" si="3">+(AG13/Z13)</f>
        <v>#VALUE!</v>
      </c>
      <c r="AL13" s="1196"/>
      <c r="AM13" s="464"/>
      <c r="AN13" s="814">
        <v>2</v>
      </c>
      <c r="AO13" s="806" t="str">
        <f>+AA13</f>
        <v>Efectuar seguimiento a la entrega de paquetes de recobros y reclamaciones.</v>
      </c>
      <c r="AP13" s="1256"/>
      <c r="AQ13" s="751">
        <v>2</v>
      </c>
      <c r="AR13" s="1256"/>
      <c r="AS13" s="807">
        <f t="shared" ref="AS13" si="4">+(AQ13/AN13)</f>
        <v>1</v>
      </c>
      <c r="AT13" s="1196"/>
      <c r="AU13" s="807">
        <f>+(AQ13)/Z13</f>
        <v>0.33333333333333331</v>
      </c>
      <c r="AV13" s="1196"/>
      <c r="AW13" s="808" t="s">
        <v>1681</v>
      </c>
      <c r="AX13" s="814">
        <v>2</v>
      </c>
      <c r="AY13" s="806" t="str">
        <f>+AA13</f>
        <v>Efectuar seguimiento a la entrega de paquetes de recobros y reclamaciones.</v>
      </c>
      <c r="AZ13" s="1256"/>
      <c r="BA13" s="729">
        <f>2</f>
        <v>2</v>
      </c>
      <c r="BB13" s="1270"/>
      <c r="BC13" s="807">
        <f t="shared" ref="BC13" si="5">+(BA13/AX13)</f>
        <v>1</v>
      </c>
      <c r="BD13" s="1196"/>
      <c r="BE13" s="807">
        <f>+(AQ13+BA13)/Z13</f>
        <v>0.66666666666666663</v>
      </c>
      <c r="BF13" s="1196"/>
      <c r="BG13" s="459" t="s">
        <v>1834</v>
      </c>
      <c r="BH13" s="814">
        <v>2</v>
      </c>
      <c r="BI13" s="806" t="str">
        <f>+AA13</f>
        <v>Efectuar seguimiento a la entrega de paquetes de recobros y reclamaciones.</v>
      </c>
      <c r="BJ13" s="1256"/>
      <c r="BK13" s="67">
        <f>2</f>
        <v>2</v>
      </c>
      <c r="BL13" s="1272"/>
      <c r="BM13" s="807">
        <f>+(BK13/BH13)</f>
        <v>1</v>
      </c>
      <c r="BN13" s="1196"/>
      <c r="BO13" s="807">
        <f>+(AQ13+BA13+BK13)/Z13</f>
        <v>1</v>
      </c>
      <c r="BP13" s="1196"/>
      <c r="BQ13" s="1069" t="s">
        <v>2008</v>
      </c>
      <c r="BR13" s="631" t="e">
        <f t="shared" ref="BR13" si="6">IF(AND(AD13=0,AG13=0),"No Prog ni Ejec",IF(AD13=0,CONCATENATE("No Prog, Ejec=  ",AG13),AG13/AD13))</f>
        <v>#VALUE!</v>
      </c>
      <c r="BS13" s="1208"/>
      <c r="BT13" s="631">
        <f t="shared" ref="BT13" si="7">IF(AND(AN13=0,AQ13=0),"No Prog ni Ejec",IF(AN13=0,CONCATENATE("No Prog, Ejec=  ",AQ13),AQ13/AN13))</f>
        <v>1</v>
      </c>
      <c r="BU13" s="1208"/>
      <c r="BV13" s="631">
        <f t="shared" ref="BV13" si="8">IF(AND(AX13=0,BA13=0),"No Prog ni Ejec",IF(AX13=0,CONCATENATE("No Prog, Ejec=  ",BA13),BA13/AX13))</f>
        <v>1</v>
      </c>
      <c r="BW13" s="1208"/>
      <c r="BX13" s="631">
        <f t="shared" ref="BX13" si="9">IF(AND(BH13=0,BK13=0),"No Prog ni Ejec",IF(BH13=0,CONCATENATE("No Prog, Ejec=  ",BK13),BK13/BH13))</f>
        <v>1</v>
      </c>
      <c r="BY13" s="1268"/>
      <c r="BZ13" s="148"/>
      <c r="CA13" s="760">
        <f t="shared" si="0"/>
        <v>0</v>
      </c>
    </row>
    <row r="14" spans="1:79" s="69" customFormat="1" ht="204" x14ac:dyDescent="0.2">
      <c r="A14" s="813">
        <v>11500</v>
      </c>
      <c r="B14" s="806" t="s">
        <v>13</v>
      </c>
      <c r="C14" s="806" t="s">
        <v>330</v>
      </c>
      <c r="D14" s="822" t="s">
        <v>1017</v>
      </c>
      <c r="E14" s="822" t="s">
        <v>1017</v>
      </c>
      <c r="F14" s="814" t="s">
        <v>95</v>
      </c>
      <c r="G14" s="806" t="s">
        <v>345</v>
      </c>
      <c r="H14" s="814" t="s">
        <v>110</v>
      </c>
      <c r="I14" s="806" t="s">
        <v>339</v>
      </c>
      <c r="J14" s="814" t="s">
        <v>564</v>
      </c>
      <c r="K14" s="806" t="s">
        <v>1471</v>
      </c>
      <c r="L14" s="817" t="s">
        <v>51</v>
      </c>
      <c r="M14" s="805">
        <v>1</v>
      </c>
      <c r="N14" s="814" t="s">
        <v>563</v>
      </c>
      <c r="O14" s="806" t="s">
        <v>357</v>
      </c>
      <c r="P14" s="825">
        <f>48960000*2</f>
        <v>97920000</v>
      </c>
      <c r="Q14" s="811">
        <v>1</v>
      </c>
      <c r="R14" s="806" t="s">
        <v>18</v>
      </c>
      <c r="S14" s="806" t="s">
        <v>24</v>
      </c>
      <c r="T14" s="806" t="s">
        <v>629</v>
      </c>
      <c r="U14" s="806" t="s">
        <v>632</v>
      </c>
      <c r="V14" s="806" t="s">
        <v>71</v>
      </c>
      <c r="W14" s="806" t="s">
        <v>204</v>
      </c>
      <c r="X14" s="806" t="s">
        <v>1472</v>
      </c>
      <c r="Y14" s="806" t="s">
        <v>204</v>
      </c>
      <c r="Z14" s="807">
        <v>1</v>
      </c>
      <c r="AA14" s="806" t="str">
        <f t="shared" ref="AA14:AA20" si="10">+O14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812">
        <f t="shared" ref="AB14:AB20" si="11">+P14</f>
        <v>97920000</v>
      </c>
      <c r="AC14" s="836" t="s">
        <v>46</v>
      </c>
      <c r="AD14" s="811">
        <v>0.25</v>
      </c>
      <c r="AE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810">
        <f>+AB14/4</f>
        <v>24480000</v>
      </c>
      <c r="AG14" s="461">
        <f>(236/236)*25%</f>
        <v>0.25</v>
      </c>
      <c r="AH14" s="840">
        <v>16864000</v>
      </c>
      <c r="AI14" s="807">
        <f t="shared" ref="AI14:AI20" si="12">+(AG14/AD14)</f>
        <v>1</v>
      </c>
      <c r="AJ14" s="807">
        <f t="shared" ref="AJ14:AJ20" si="13">+(AH14/AF14)</f>
        <v>0.68888888888888888</v>
      </c>
      <c r="AK14" s="807">
        <f t="shared" ref="AK14:AK20" si="14">+(AG14/Z14)</f>
        <v>0.25</v>
      </c>
      <c r="AL14" s="807">
        <f t="shared" ref="AL14:AL20" si="15">+(AH14/AB14)</f>
        <v>0.17222222222222222</v>
      </c>
      <c r="AM14" s="464" t="s">
        <v>1318</v>
      </c>
      <c r="AN14" s="811">
        <v>0.25</v>
      </c>
      <c r="AO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810">
        <f>+AB14/4</f>
        <v>24480000</v>
      </c>
      <c r="AQ14" s="827">
        <f>(375/375)*25%</f>
        <v>0.25</v>
      </c>
      <c r="AR14" s="620">
        <v>24480000</v>
      </c>
      <c r="AS14" s="807">
        <f t="shared" ref="AS14:AS20" si="16">+(AQ14/AN14)</f>
        <v>1</v>
      </c>
      <c r="AT14" s="807">
        <f t="shared" ref="AT14:AT20" si="17">+(AR14/AP14)</f>
        <v>1</v>
      </c>
      <c r="AU14" s="807">
        <f t="shared" ref="AU14:AU20" si="18">+(AQ14+AG14)/Z14</f>
        <v>0.5</v>
      </c>
      <c r="AV14" s="807">
        <f t="shared" ref="AV14:AV20" si="19">+(AR14+AH14)/AB14</f>
        <v>0.42222222222222222</v>
      </c>
      <c r="AW14" s="808" t="s">
        <v>1682</v>
      </c>
      <c r="AX14" s="811">
        <v>0.25</v>
      </c>
      <c r="AY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810">
        <f>+AB14/4</f>
        <v>24480000</v>
      </c>
      <c r="BA14" s="924">
        <f>(345/345)*25%</f>
        <v>0.25</v>
      </c>
      <c r="BB14" s="923">
        <v>24480000</v>
      </c>
      <c r="BC14" s="807">
        <f t="shared" ref="BC14:BC20" si="20">+(BA14/AX14)</f>
        <v>1</v>
      </c>
      <c r="BD14" s="807">
        <f t="shared" ref="BD14:BD20" si="21">+(BB14/AZ14)</f>
        <v>1</v>
      </c>
      <c r="BE14" s="807">
        <f t="shared" ref="BE14:BE20" si="22">+(AQ14+AG14+BA14)/Z14</f>
        <v>0.75</v>
      </c>
      <c r="BF14" s="807">
        <f t="shared" ref="BF14:BF20" si="23">+(AR14+AH14+BB14)/AB14</f>
        <v>0.67222222222222228</v>
      </c>
      <c r="BG14" s="459" t="s">
        <v>1835</v>
      </c>
      <c r="BH14" s="811">
        <v>0.25</v>
      </c>
      <c r="BI14" s="806"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810">
        <f>+AB14/4</f>
        <v>24480000</v>
      </c>
      <c r="BK14" s="1063">
        <f>(273/273)*25%</f>
        <v>0.25</v>
      </c>
      <c r="BL14" s="1064">
        <v>16320000</v>
      </c>
      <c r="BM14" s="807">
        <f t="shared" ref="BM14:BM20" si="24">+(BK14/BH14)</f>
        <v>1</v>
      </c>
      <c r="BN14" s="807">
        <f t="shared" ref="BN14:BN20" si="25">+(BL14/BJ14)</f>
        <v>0.66666666666666663</v>
      </c>
      <c r="BO14" s="807">
        <f t="shared" ref="BO14:BO20" si="26">+(AQ14+AG14+BA14+BK14)/Z14</f>
        <v>1</v>
      </c>
      <c r="BP14" s="807">
        <f t="shared" ref="BP14:BP20" si="27">+(AR14+AH14+BB14+BL14)/AB14</f>
        <v>0.83888888888888891</v>
      </c>
      <c r="BQ14" s="1069" t="s">
        <v>2009</v>
      </c>
      <c r="BR14" s="631">
        <f t="shared" ref="BR14:BR20" si="28">IF(AND(AD14=0,AG14=0),"No Prog ni Ejec",IF(AD14=0,CONCATENATE("No Prog, Ejec=  ",AG14),AG14/AD14))</f>
        <v>1</v>
      </c>
      <c r="BS14" s="631">
        <f t="shared" ref="BS14:BS20" si="29">IF(AND(AF14=0,AH14=0),"No Prog ni Ejec",IF(AF14=0,CONCATENATE("No Prog, Ejec=  ",AH14),AH14/AF14))</f>
        <v>0.68888888888888888</v>
      </c>
      <c r="BT14" s="631">
        <f t="shared" ref="BT14:BT20" si="30">IF(AND(AN14=0,AQ14=0),"No Prog ni Ejec",IF(AN14=0,CONCATENATE("No Prog, Ejec=  ",AQ14),AQ14/AN14))</f>
        <v>1</v>
      </c>
      <c r="BU14" s="631">
        <f t="shared" ref="BU14:BU20" si="31">IF(AND(AP14=0,AR14=0),"No Prog ni Ejec",IF(AP14=0,CONCATENATE("No Prog, Ejec=  ",AR14),AR14/AP14))</f>
        <v>1</v>
      </c>
      <c r="BV14" s="631">
        <f t="shared" ref="BV14:BV20" si="32">IF(AND(AX14=0,BA14=0),"No Prog ni Ejec",IF(AX14=0,CONCATENATE("No Prog, Ejec=  ",BA14),BA14/AX14))</f>
        <v>1</v>
      </c>
      <c r="BW14" s="631">
        <f t="shared" ref="BW14:BW20" si="33">IF(AND(AZ14=0,BB14=0),"No Prog ni Ejec",IF(AZ14=0,CONCATENATE("No Prog, Ejec=  ",BB14),BB14/AZ14))</f>
        <v>1</v>
      </c>
      <c r="BX14" s="631">
        <f t="shared" ref="BX14:BX20" si="34">IF(AND(BH14=0,BK14=0),"No Prog ni Ejec",IF(BH14=0,CONCATENATE("No Prog, Ejec=  ",BK14),BK14/BH14))</f>
        <v>1</v>
      </c>
      <c r="BY14" s="685">
        <f t="shared" ref="BY14:BY20" si="35">IF(AND(BJ14=0,BL14=0),"No Prog ni Ejec",IF(BJ14=0,CONCATENATE("No Prog, Ejec=  ",BL14),BL14/BJ14))</f>
        <v>0.66666666666666663</v>
      </c>
      <c r="BZ14" s="148">
        <f t="shared" si="1"/>
        <v>0</v>
      </c>
      <c r="CA14" s="760">
        <f t="shared" si="0"/>
        <v>0</v>
      </c>
    </row>
    <row r="15" spans="1:79" s="69" customFormat="1" ht="249" customHeight="1" x14ac:dyDescent="0.2">
      <c r="A15" s="813">
        <v>11500</v>
      </c>
      <c r="B15" s="806" t="s">
        <v>13</v>
      </c>
      <c r="C15" s="806" t="s">
        <v>330</v>
      </c>
      <c r="D15" s="822" t="s">
        <v>1017</v>
      </c>
      <c r="E15" s="822" t="s">
        <v>1017</v>
      </c>
      <c r="F15" s="814" t="s">
        <v>95</v>
      </c>
      <c r="G15" s="806" t="s">
        <v>345</v>
      </c>
      <c r="H15" s="814" t="s">
        <v>110</v>
      </c>
      <c r="I15" s="806" t="s">
        <v>339</v>
      </c>
      <c r="J15" s="814" t="s">
        <v>566</v>
      </c>
      <c r="K15" s="806" t="s">
        <v>600</v>
      </c>
      <c r="L15" s="817" t="s">
        <v>169</v>
      </c>
      <c r="M15" s="67">
        <v>4</v>
      </c>
      <c r="N15" s="814" t="s">
        <v>565</v>
      </c>
      <c r="O15" s="806" t="s">
        <v>1583</v>
      </c>
      <c r="P15" s="561">
        <v>181615938.62</v>
      </c>
      <c r="Q15" s="811">
        <v>1</v>
      </c>
      <c r="R15" s="806" t="s">
        <v>17</v>
      </c>
      <c r="S15" s="806" t="s">
        <v>295</v>
      </c>
      <c r="T15" s="806" t="s">
        <v>629</v>
      </c>
      <c r="U15" s="806" t="s">
        <v>632</v>
      </c>
      <c r="V15" s="806" t="s">
        <v>71</v>
      </c>
      <c r="W15" s="806" t="s">
        <v>1266</v>
      </c>
      <c r="X15" s="806" t="s">
        <v>903</v>
      </c>
      <c r="Y15" s="806" t="s">
        <v>204</v>
      </c>
      <c r="Z15" s="67">
        <v>4</v>
      </c>
      <c r="AA15" s="806" t="str">
        <f>+O15</f>
        <v>Optimizar y sistematizar el proceso de auditoría integral en salud, jurídica y financiera de recobros y reclamaciones</v>
      </c>
      <c r="AB15" s="812">
        <f>+P15</f>
        <v>181615938.62</v>
      </c>
      <c r="AC15" s="836" t="s">
        <v>46</v>
      </c>
      <c r="AD15" s="67">
        <v>1</v>
      </c>
      <c r="AE15" s="806" t="str">
        <f>+AA15</f>
        <v>Optimizar y sistematizar el proceso de auditoría integral en salud, jurídica y financiera de recobros y reclamaciones</v>
      </c>
      <c r="AF15" s="810">
        <f>(AB15/11)*2</f>
        <v>33021079.74909091</v>
      </c>
      <c r="AG15" s="460">
        <v>1</v>
      </c>
      <c r="AH15" s="840">
        <v>11272713.4</v>
      </c>
      <c r="AI15" s="807">
        <f>+(AG15/AD15)</f>
        <v>1</v>
      </c>
      <c r="AJ15" s="807">
        <f>+(AH15/AF15)</f>
        <v>0.34137930938828082</v>
      </c>
      <c r="AK15" s="807">
        <f>+(AG15/Z15)</f>
        <v>0.25</v>
      </c>
      <c r="AL15" s="807">
        <f>+(AH15/AB15)</f>
        <v>6.206896534332379E-2</v>
      </c>
      <c r="AM15" s="463" t="s">
        <v>1319</v>
      </c>
      <c r="AN15" s="67">
        <v>1</v>
      </c>
      <c r="AO15" s="806" t="str">
        <f>+AA15</f>
        <v>Optimizar y sistematizar el proceso de auditoría integral en salud, jurídica y financiera de recobros y reclamaciones</v>
      </c>
      <c r="AP15" s="810">
        <f>(AB15/11)*3</f>
        <v>49531619.623636365</v>
      </c>
      <c r="AQ15" s="817">
        <v>1</v>
      </c>
      <c r="AR15" s="620">
        <v>56363566.979999997</v>
      </c>
      <c r="AS15" s="807">
        <f>+(AQ15/AN15)</f>
        <v>1</v>
      </c>
      <c r="AT15" s="807">
        <f>+(AR15/AP15)</f>
        <v>1.1379310308904869</v>
      </c>
      <c r="AU15" s="807">
        <f>+(AQ15+AG15)/Z15</f>
        <v>0.5</v>
      </c>
      <c r="AV15" s="807">
        <f>+(AR15+AH15)/AB15</f>
        <v>0.37241379194982016</v>
      </c>
      <c r="AW15" s="808" t="s">
        <v>1683</v>
      </c>
      <c r="AX15" s="67">
        <v>1</v>
      </c>
      <c r="AY15" s="806" t="str">
        <f>+AA15</f>
        <v>Optimizar y sistematizar el proceso de auditoría integral en salud, jurídica y financiera de recobros y reclamaciones</v>
      </c>
      <c r="AZ15" s="810">
        <f>(AB15/11)*3</f>
        <v>49531619.623636365</v>
      </c>
      <c r="BA15" s="922">
        <v>1</v>
      </c>
      <c r="BB15" s="923">
        <v>56363566.979999997</v>
      </c>
      <c r="BC15" s="807">
        <f>+(BA15/AX15)</f>
        <v>1</v>
      </c>
      <c r="BD15" s="807">
        <f>+(BB15/AZ15)</f>
        <v>1.1379310308904869</v>
      </c>
      <c r="BE15" s="807">
        <f>+(AQ15+AG15+BA15)/Z15</f>
        <v>0.75</v>
      </c>
      <c r="BF15" s="807">
        <f>+(AR15+AH15+BB15)/AB15</f>
        <v>0.68275861855631659</v>
      </c>
      <c r="BG15" s="459" t="s">
        <v>2016</v>
      </c>
      <c r="BH15" s="67">
        <v>1</v>
      </c>
      <c r="BI15" s="806" t="str">
        <f>+AA15</f>
        <v>Optimizar y sistematizar el proceso de auditoría integral en salud, jurídica y financiera de recobros y reclamaciones</v>
      </c>
      <c r="BJ15" s="810">
        <f>(AB15/11)*3</f>
        <v>49531619.623636365</v>
      </c>
      <c r="BK15" s="1065">
        <v>1</v>
      </c>
      <c r="BL15" s="1064">
        <v>37575711.32</v>
      </c>
      <c r="BM15" s="807">
        <f>+(BK15/BH15)</f>
        <v>1</v>
      </c>
      <c r="BN15" s="807">
        <f>+(BL15/BJ15)</f>
        <v>0.75862068726032461</v>
      </c>
      <c r="BO15" s="807">
        <f>+(AQ15+AG15+BA15+BK15)/Z15</f>
        <v>1</v>
      </c>
      <c r="BP15" s="807">
        <f>+(AR15+AH15+BB15+BL15)/AB15</f>
        <v>0.88965516962731417</v>
      </c>
      <c r="BQ15" s="1069" t="s">
        <v>2010</v>
      </c>
      <c r="BR15" s="631">
        <f>IF(AND(AD15=0,AG15=0),"No Prog ni Ejec",IF(AD15=0,CONCATENATE("No Prog, Ejec=  ",AG15),AG15/AD15))</f>
        <v>1</v>
      </c>
      <c r="BS15" s="631">
        <f>IF(AND(AF15=0,AH15=0),"No Prog ni Ejec",IF(AF15=0,CONCATENATE("No Prog, Ejec=  ",AH15),AH15/AF15))</f>
        <v>0.34137930938828082</v>
      </c>
      <c r="BT15" s="631">
        <f>IF(AND(AN15=0,AQ15=0),"No Prog ni Ejec",IF(AN15=0,CONCATENATE("No Prog, Ejec=  ",AQ15),AQ15/AN15))</f>
        <v>1</v>
      </c>
      <c r="BU15" s="631">
        <f>IF(AND(AP15=0,AR15=0),"No Prog ni Ejec",IF(AP15=0,CONCATENATE("No Prog, Ejec=  ",AR15),AR15/AP15))</f>
        <v>1.1379310308904869</v>
      </c>
      <c r="BV15" s="631">
        <f>IF(AND(AX15=0,BA15=0),"No Prog ni Ejec",IF(AX15=0,CONCATENATE("No Prog, Ejec=  ",BA15),BA15/AX15))</f>
        <v>1</v>
      </c>
      <c r="BW15" s="631">
        <f>IF(AND(AZ15=0,BB15=0),"No Prog ni Ejec",IF(AZ15=0,CONCATENATE("No Prog, Ejec=  ",BB15),BB15/AZ15))</f>
        <v>1.1379310308904869</v>
      </c>
      <c r="BX15" s="631">
        <f>IF(AND(BH15=0,BK15=0),"No Prog ni Ejec",IF(BH15=0,CONCATENATE("No Prog, Ejec=  ",BK15),BK15/BH15))</f>
        <v>1</v>
      </c>
      <c r="BY15" s="685">
        <f>IF(AND(BJ15=0,BL15=0),"No Prog ni Ejec",IF(BJ15=0,CONCATENATE("No Prog, Ejec=  ",BL15),BL15/BJ15))</f>
        <v>0.75862068726032461</v>
      </c>
      <c r="BZ15" s="148">
        <f t="shared" si="1"/>
        <v>0</v>
      </c>
      <c r="CA15" s="760">
        <f t="shared" si="0"/>
        <v>0</v>
      </c>
    </row>
    <row r="16" spans="1:79" s="69" customFormat="1" ht="200.1" customHeight="1" x14ac:dyDescent="0.2">
      <c r="A16" s="813">
        <v>11500</v>
      </c>
      <c r="B16" s="806" t="s">
        <v>13</v>
      </c>
      <c r="C16" s="806" t="s">
        <v>330</v>
      </c>
      <c r="D16" s="822" t="s">
        <v>1017</v>
      </c>
      <c r="E16" s="822"/>
      <c r="F16" s="814" t="s">
        <v>95</v>
      </c>
      <c r="G16" s="806" t="s">
        <v>345</v>
      </c>
      <c r="H16" s="814" t="s">
        <v>110</v>
      </c>
      <c r="I16" s="806" t="s">
        <v>339</v>
      </c>
      <c r="J16" s="814" t="s">
        <v>568</v>
      </c>
      <c r="K16" s="806" t="s">
        <v>407</v>
      </c>
      <c r="L16" s="817" t="s">
        <v>390</v>
      </c>
      <c r="M16" s="67">
        <v>12</v>
      </c>
      <c r="N16" s="814" t="s">
        <v>567</v>
      </c>
      <c r="O16" s="65" t="s">
        <v>412</v>
      </c>
      <c r="P16" s="825">
        <v>0</v>
      </c>
      <c r="Q16" s="811">
        <v>1</v>
      </c>
      <c r="R16" s="806" t="s">
        <v>17</v>
      </c>
      <c r="S16" s="806" t="s">
        <v>26</v>
      </c>
      <c r="T16" s="806" t="s">
        <v>629</v>
      </c>
      <c r="U16" s="806" t="s">
        <v>632</v>
      </c>
      <c r="V16" s="806" t="s">
        <v>71</v>
      </c>
      <c r="W16" s="806" t="s">
        <v>1259</v>
      </c>
      <c r="X16" s="806" t="s">
        <v>416</v>
      </c>
      <c r="Y16" s="806" t="s">
        <v>284</v>
      </c>
      <c r="Z16" s="67">
        <v>12</v>
      </c>
      <c r="AA16" s="806" t="str">
        <f t="shared" si="10"/>
        <v>Ordenar el giro previo a favor de las entidades recobrantes y proveedores de servicios y tecnologías no incluidas en el PB con cargo a la UPC</v>
      </c>
      <c r="AB16" s="812">
        <f t="shared" si="11"/>
        <v>0</v>
      </c>
      <c r="AC16" s="836" t="s">
        <v>48</v>
      </c>
      <c r="AD16" s="67">
        <v>3</v>
      </c>
      <c r="AE16" s="806" t="str">
        <f t="shared" ref="AE16:AE21" si="36">+AA16</f>
        <v>Ordenar el giro previo a favor de las entidades recobrantes y proveedores de servicios y tecnologías no incluidas en el PB con cargo a la UPC</v>
      </c>
      <c r="AF16" s="810">
        <v>0</v>
      </c>
      <c r="AG16" s="460">
        <v>3</v>
      </c>
      <c r="AH16" s="840">
        <v>0</v>
      </c>
      <c r="AI16" s="807">
        <f t="shared" si="12"/>
        <v>1</v>
      </c>
      <c r="AJ16" s="807" t="e">
        <f t="shared" si="13"/>
        <v>#DIV/0!</v>
      </c>
      <c r="AK16" s="807">
        <f t="shared" si="14"/>
        <v>0.25</v>
      </c>
      <c r="AL16" s="807" t="e">
        <f t="shared" si="15"/>
        <v>#DIV/0!</v>
      </c>
      <c r="AM16" s="465" t="s">
        <v>1320</v>
      </c>
      <c r="AN16" s="67">
        <v>3</v>
      </c>
      <c r="AO16" s="806" t="str">
        <f t="shared" ref="AO16:AO21" si="37">+AA16</f>
        <v>Ordenar el giro previo a favor de las entidades recobrantes y proveedores de servicios y tecnologías no incluidas en el PB con cargo a la UPC</v>
      </c>
      <c r="AP16" s="810">
        <v>0</v>
      </c>
      <c r="AQ16" s="817">
        <v>6</v>
      </c>
      <c r="AR16" s="810">
        <v>0</v>
      </c>
      <c r="AS16" s="807">
        <f t="shared" si="16"/>
        <v>2</v>
      </c>
      <c r="AT16" s="807" t="e">
        <f t="shared" si="17"/>
        <v>#DIV/0!</v>
      </c>
      <c r="AU16" s="807">
        <f t="shared" si="18"/>
        <v>0.75</v>
      </c>
      <c r="AV16" s="807" t="e">
        <f t="shared" si="19"/>
        <v>#DIV/0!</v>
      </c>
      <c r="AW16" s="808" t="s">
        <v>1749</v>
      </c>
      <c r="AX16" s="67">
        <v>3</v>
      </c>
      <c r="AY16" s="806" t="str">
        <f>+AA16</f>
        <v>Ordenar el giro previo a favor de las entidades recobrantes y proveedores de servicios y tecnologías no incluidas en el PB con cargo a la UPC</v>
      </c>
      <c r="AZ16" s="810">
        <v>0</v>
      </c>
      <c r="BA16" s="922">
        <v>8</v>
      </c>
      <c r="BB16" s="929">
        <v>0</v>
      </c>
      <c r="BC16" s="807">
        <f t="shared" si="20"/>
        <v>2.6666666666666665</v>
      </c>
      <c r="BD16" s="807" t="e">
        <f t="shared" si="21"/>
        <v>#DIV/0!</v>
      </c>
      <c r="BE16" s="807">
        <f t="shared" si="22"/>
        <v>1.4166666666666667</v>
      </c>
      <c r="BF16" s="807" t="e">
        <f t="shared" si="23"/>
        <v>#DIV/0!</v>
      </c>
      <c r="BG16" s="459" t="s">
        <v>1842</v>
      </c>
      <c r="BH16" s="67">
        <v>3</v>
      </c>
      <c r="BI16" s="806" t="str">
        <f t="shared" ref="BI16:BI21" si="38">+AA16</f>
        <v>Ordenar el giro previo a favor de las entidades recobrantes y proveedores de servicios y tecnologías no incluidas en el PB con cargo a la UPC</v>
      </c>
      <c r="BJ16" s="810">
        <v>0</v>
      </c>
      <c r="BK16" s="1062">
        <v>3</v>
      </c>
      <c r="BL16" s="1064">
        <v>0</v>
      </c>
      <c r="BM16" s="807">
        <f t="shared" si="24"/>
        <v>1</v>
      </c>
      <c r="BN16" s="807" t="e">
        <f>+(BL16/BJ16)</f>
        <v>#DIV/0!</v>
      </c>
      <c r="BO16" s="807">
        <f t="shared" si="26"/>
        <v>1.6666666666666667</v>
      </c>
      <c r="BP16" s="807" t="e">
        <f t="shared" si="27"/>
        <v>#DIV/0!</v>
      </c>
      <c r="BQ16" s="1069" t="s">
        <v>2043</v>
      </c>
      <c r="BR16" s="631">
        <f t="shared" si="28"/>
        <v>1</v>
      </c>
      <c r="BS16" s="631" t="str">
        <f t="shared" si="29"/>
        <v>No Prog ni Ejec</v>
      </c>
      <c r="BT16" s="631">
        <f t="shared" si="30"/>
        <v>2</v>
      </c>
      <c r="BU16" s="631" t="str">
        <f t="shared" si="31"/>
        <v>No Prog ni Ejec</v>
      </c>
      <c r="BV16" s="631">
        <f t="shared" si="32"/>
        <v>2.6666666666666665</v>
      </c>
      <c r="BW16" s="631" t="str">
        <f t="shared" si="33"/>
        <v>No Prog ni Ejec</v>
      </c>
      <c r="BX16" s="631">
        <f t="shared" si="34"/>
        <v>1</v>
      </c>
      <c r="BY16" s="685" t="str">
        <f t="shared" si="35"/>
        <v>No Prog ni Ejec</v>
      </c>
      <c r="BZ16" s="148">
        <f t="shared" si="1"/>
        <v>0</v>
      </c>
      <c r="CA16" s="760">
        <f t="shared" si="0"/>
        <v>0</v>
      </c>
    </row>
    <row r="17" spans="1:79" s="69" customFormat="1" ht="308.25" customHeight="1" x14ac:dyDescent="0.2">
      <c r="A17" s="813">
        <v>11500</v>
      </c>
      <c r="B17" s="806" t="s">
        <v>13</v>
      </c>
      <c r="C17" s="806" t="s">
        <v>330</v>
      </c>
      <c r="D17" s="822" t="s">
        <v>1017</v>
      </c>
      <c r="E17" s="822"/>
      <c r="F17" s="814" t="s">
        <v>95</v>
      </c>
      <c r="G17" s="806" t="s">
        <v>345</v>
      </c>
      <c r="H17" s="814" t="s">
        <v>110</v>
      </c>
      <c r="I17" s="806" t="s">
        <v>339</v>
      </c>
      <c r="J17" s="814" t="s">
        <v>586</v>
      </c>
      <c r="K17" s="806" t="s">
        <v>408</v>
      </c>
      <c r="L17" s="817" t="s">
        <v>169</v>
      </c>
      <c r="M17" s="805">
        <v>1</v>
      </c>
      <c r="N17" s="814" t="s">
        <v>583</v>
      </c>
      <c r="O17" s="682" t="s">
        <v>1473</v>
      </c>
      <c r="P17" s="812">
        <v>0</v>
      </c>
      <c r="Q17" s="811">
        <v>1</v>
      </c>
      <c r="R17" s="806" t="s">
        <v>17</v>
      </c>
      <c r="S17" s="806" t="s">
        <v>26</v>
      </c>
      <c r="T17" s="806" t="s">
        <v>629</v>
      </c>
      <c r="U17" s="806" t="s">
        <v>632</v>
      </c>
      <c r="V17" s="806" t="s">
        <v>71</v>
      </c>
      <c r="W17" s="806" t="s">
        <v>1258</v>
      </c>
      <c r="X17" s="806" t="s">
        <v>1475</v>
      </c>
      <c r="Y17" s="806" t="s">
        <v>284</v>
      </c>
      <c r="Z17" s="807">
        <v>1</v>
      </c>
      <c r="AA17" s="682" t="str">
        <f t="shared" si="10"/>
        <v>Ordenar el pago de los paquetes de recobros cuyo trámite de auditoría se encuentre certificado o haya sido allegado el auto de desistimiento para el caso de recobros inmersos en procesos judiciales.</v>
      </c>
      <c r="AB17" s="812">
        <f t="shared" si="11"/>
        <v>0</v>
      </c>
      <c r="AC17" s="836" t="s">
        <v>48</v>
      </c>
      <c r="AD17" s="807">
        <v>0.25</v>
      </c>
      <c r="AE17" s="682" t="str">
        <f t="shared" si="36"/>
        <v>Ordenar el pago de los paquetes de recobros cuyo trámite de auditoría se encuentre certificado o haya sido allegado el auto de desistimiento para el caso de recobros inmersos en procesos judiciales.</v>
      </c>
      <c r="AF17" s="810">
        <v>0</v>
      </c>
      <c r="AG17" s="460">
        <v>0</v>
      </c>
      <c r="AH17" s="840">
        <v>0</v>
      </c>
      <c r="AI17" s="807">
        <f t="shared" si="12"/>
        <v>0</v>
      </c>
      <c r="AJ17" s="807" t="e">
        <f t="shared" si="13"/>
        <v>#DIV/0!</v>
      </c>
      <c r="AK17" s="807">
        <f t="shared" si="14"/>
        <v>0</v>
      </c>
      <c r="AL17" s="807" t="e">
        <f t="shared" si="15"/>
        <v>#DIV/0!</v>
      </c>
      <c r="AM17" s="465" t="s">
        <v>1321</v>
      </c>
      <c r="AN17" s="807">
        <v>0.25</v>
      </c>
      <c r="AO17" s="682" t="str">
        <f t="shared" si="37"/>
        <v>Ordenar el pago de los paquetes de recobros cuyo trámite de auditoría se encuentre certificado o haya sido allegado el auto de desistimiento para el caso de recobros inmersos en procesos judiciales.</v>
      </c>
      <c r="AP17" s="810">
        <v>0</v>
      </c>
      <c r="AQ17" s="827">
        <f>(3/3)*25%</f>
        <v>0.25</v>
      </c>
      <c r="AR17" s="810">
        <v>0</v>
      </c>
      <c r="AS17" s="807">
        <f t="shared" si="16"/>
        <v>1</v>
      </c>
      <c r="AT17" s="807" t="e">
        <f t="shared" si="17"/>
        <v>#DIV/0!</v>
      </c>
      <c r="AU17" s="807">
        <f t="shared" si="18"/>
        <v>0.25</v>
      </c>
      <c r="AV17" s="807" t="e">
        <f t="shared" si="19"/>
        <v>#DIV/0!</v>
      </c>
      <c r="AW17" s="808" t="s">
        <v>1750</v>
      </c>
      <c r="AX17" s="807">
        <v>0.25</v>
      </c>
      <c r="AY17" s="682" t="str">
        <f t="shared" ref="AY17:AY21" si="39">+AA17</f>
        <v>Ordenar el pago de los paquetes de recobros cuyo trámite de auditoría se encuentre certificado o haya sido allegado el auto de desistimiento para el caso de recobros inmersos en procesos judiciales.</v>
      </c>
      <c r="AZ17" s="810">
        <v>0</v>
      </c>
      <c r="BA17" s="677">
        <f>(10/10)*25%</f>
        <v>0.25</v>
      </c>
      <c r="BB17" s="929">
        <v>0</v>
      </c>
      <c r="BC17" s="807">
        <f t="shared" si="20"/>
        <v>1</v>
      </c>
      <c r="BD17" s="807" t="e">
        <f t="shared" si="21"/>
        <v>#DIV/0!</v>
      </c>
      <c r="BE17" s="807">
        <f t="shared" si="22"/>
        <v>0.5</v>
      </c>
      <c r="BF17" s="807" t="e">
        <f t="shared" si="23"/>
        <v>#DIV/0!</v>
      </c>
      <c r="BG17" s="459" t="s">
        <v>1836</v>
      </c>
      <c r="BH17" s="807">
        <v>0.25</v>
      </c>
      <c r="BI17" s="682" t="str">
        <f t="shared" si="38"/>
        <v>Ordenar el pago de los paquetes de recobros cuyo trámite de auditoría se encuentre certificado o haya sido allegado el auto de desistimiento para el caso de recobros inmersos en procesos judiciales.</v>
      </c>
      <c r="BJ17" s="810">
        <v>0</v>
      </c>
      <c r="BK17" s="1063">
        <f>(35/35)*25%</f>
        <v>0.25</v>
      </c>
      <c r="BL17" s="1064">
        <v>0</v>
      </c>
      <c r="BM17" s="807">
        <f t="shared" si="24"/>
        <v>1</v>
      </c>
      <c r="BN17" s="807" t="e">
        <f t="shared" si="25"/>
        <v>#DIV/0!</v>
      </c>
      <c r="BO17" s="807">
        <f t="shared" si="26"/>
        <v>0.75</v>
      </c>
      <c r="BP17" s="807" t="e">
        <f t="shared" si="27"/>
        <v>#DIV/0!</v>
      </c>
      <c r="BQ17" s="1069" t="s">
        <v>2011</v>
      </c>
      <c r="BR17" s="631">
        <f t="shared" si="28"/>
        <v>0</v>
      </c>
      <c r="BS17" s="631" t="str">
        <f t="shared" si="29"/>
        <v>No Prog ni Ejec</v>
      </c>
      <c r="BT17" s="631">
        <f t="shared" si="30"/>
        <v>1</v>
      </c>
      <c r="BU17" s="631" t="str">
        <f t="shared" si="31"/>
        <v>No Prog ni Ejec</v>
      </c>
      <c r="BV17" s="631">
        <f t="shared" si="32"/>
        <v>1</v>
      </c>
      <c r="BW17" s="631" t="str">
        <f t="shared" si="33"/>
        <v>No Prog ni Ejec</v>
      </c>
      <c r="BX17" s="631">
        <f t="shared" si="34"/>
        <v>1</v>
      </c>
      <c r="BY17" s="685" t="str">
        <f t="shared" si="35"/>
        <v>No Prog ni Ejec</v>
      </c>
      <c r="BZ17" s="148">
        <f t="shared" si="1"/>
        <v>0</v>
      </c>
      <c r="CA17" s="760">
        <f t="shared" si="0"/>
        <v>0</v>
      </c>
    </row>
    <row r="18" spans="1:79" s="69" customFormat="1" ht="89.25" x14ac:dyDescent="0.2">
      <c r="A18" s="813">
        <v>11500</v>
      </c>
      <c r="B18" s="806" t="s">
        <v>13</v>
      </c>
      <c r="C18" s="806" t="s">
        <v>330</v>
      </c>
      <c r="D18" s="822" t="s">
        <v>1017</v>
      </c>
      <c r="E18" s="822"/>
      <c r="F18" s="814" t="s">
        <v>95</v>
      </c>
      <c r="G18" s="806" t="s">
        <v>345</v>
      </c>
      <c r="H18" s="814" t="s">
        <v>110</v>
      </c>
      <c r="I18" s="806" t="s">
        <v>339</v>
      </c>
      <c r="J18" s="814" t="s">
        <v>585</v>
      </c>
      <c r="K18" s="806" t="s">
        <v>409</v>
      </c>
      <c r="L18" s="817" t="s">
        <v>169</v>
      </c>
      <c r="M18" s="805">
        <v>1</v>
      </c>
      <c r="N18" s="814" t="s">
        <v>584</v>
      </c>
      <c r="O18" s="65" t="s">
        <v>413</v>
      </c>
      <c r="P18" s="825">
        <v>0</v>
      </c>
      <c r="Q18" s="811">
        <v>1</v>
      </c>
      <c r="R18" s="806" t="s">
        <v>18</v>
      </c>
      <c r="S18" s="806" t="s">
        <v>24</v>
      </c>
      <c r="T18" s="806" t="s">
        <v>629</v>
      </c>
      <c r="U18" s="806" t="s">
        <v>632</v>
      </c>
      <c r="V18" s="806" t="s">
        <v>71</v>
      </c>
      <c r="W18" s="806" t="s">
        <v>204</v>
      </c>
      <c r="X18" s="806" t="s">
        <v>417</v>
      </c>
      <c r="Y18" s="806" t="s">
        <v>40</v>
      </c>
      <c r="Z18" s="805">
        <v>1</v>
      </c>
      <c r="AA18" s="806" t="str">
        <f t="shared" si="10"/>
        <v xml:space="preserve">Solicitar la publicación del los giros ordenados por recobros </v>
      </c>
      <c r="AB18" s="812">
        <f t="shared" si="11"/>
        <v>0</v>
      </c>
      <c r="AC18" s="836" t="s">
        <v>48</v>
      </c>
      <c r="AD18" s="807">
        <v>0.25</v>
      </c>
      <c r="AE18" s="806" t="str">
        <f t="shared" si="36"/>
        <v xml:space="preserve">Solicitar la publicación del los giros ordenados por recobros </v>
      </c>
      <c r="AF18" s="810">
        <v>0</v>
      </c>
      <c r="AG18" s="461">
        <f>(3/3)*25%</f>
        <v>0.25</v>
      </c>
      <c r="AH18" s="487">
        <v>0</v>
      </c>
      <c r="AI18" s="807">
        <f t="shared" si="12"/>
        <v>1</v>
      </c>
      <c r="AJ18" s="807" t="e">
        <f t="shared" si="13"/>
        <v>#DIV/0!</v>
      </c>
      <c r="AK18" s="807">
        <f t="shared" si="14"/>
        <v>0.25</v>
      </c>
      <c r="AL18" s="807" t="e">
        <f t="shared" si="15"/>
        <v>#DIV/0!</v>
      </c>
      <c r="AM18" s="464" t="s">
        <v>1322</v>
      </c>
      <c r="AN18" s="807">
        <v>0.25</v>
      </c>
      <c r="AO18" s="806" t="str">
        <f t="shared" si="37"/>
        <v xml:space="preserve">Solicitar la publicación del los giros ordenados por recobros </v>
      </c>
      <c r="AP18" s="810">
        <v>0</v>
      </c>
      <c r="AQ18" s="827">
        <f>(9/9)*25%</f>
        <v>0.25</v>
      </c>
      <c r="AR18" s="810">
        <v>0</v>
      </c>
      <c r="AS18" s="807">
        <f t="shared" si="16"/>
        <v>1</v>
      </c>
      <c r="AT18" s="807" t="e">
        <f t="shared" si="17"/>
        <v>#DIV/0!</v>
      </c>
      <c r="AU18" s="807">
        <f t="shared" si="18"/>
        <v>0.5</v>
      </c>
      <c r="AV18" s="807" t="e">
        <f t="shared" si="19"/>
        <v>#DIV/0!</v>
      </c>
      <c r="AW18" s="808" t="s">
        <v>1684</v>
      </c>
      <c r="AX18" s="807">
        <v>0.25</v>
      </c>
      <c r="AY18" s="806" t="str">
        <f t="shared" si="39"/>
        <v xml:space="preserve">Solicitar la publicación del los giros ordenados por recobros </v>
      </c>
      <c r="AZ18" s="810">
        <v>0</v>
      </c>
      <c r="BA18" s="677">
        <f>(18/18)*25%</f>
        <v>0.25</v>
      </c>
      <c r="BB18" s="929">
        <v>0</v>
      </c>
      <c r="BC18" s="807">
        <f t="shared" si="20"/>
        <v>1</v>
      </c>
      <c r="BD18" s="807" t="e">
        <f t="shared" si="21"/>
        <v>#DIV/0!</v>
      </c>
      <c r="BE18" s="807">
        <f t="shared" si="22"/>
        <v>0.75</v>
      </c>
      <c r="BF18" s="807" t="e">
        <f t="shared" si="23"/>
        <v>#DIV/0!</v>
      </c>
      <c r="BG18" s="459" t="s">
        <v>1837</v>
      </c>
      <c r="BH18" s="807">
        <v>0.25</v>
      </c>
      <c r="BI18" s="806" t="str">
        <f t="shared" si="38"/>
        <v xml:space="preserve">Solicitar la publicación del los giros ordenados por recobros </v>
      </c>
      <c r="BJ18" s="810">
        <v>0</v>
      </c>
      <c r="BK18" s="1063">
        <f>(37/37)*25%</f>
        <v>0.25</v>
      </c>
      <c r="BL18" s="1064">
        <v>0</v>
      </c>
      <c r="BM18" s="807">
        <f t="shared" si="24"/>
        <v>1</v>
      </c>
      <c r="BN18" s="807" t="e">
        <f t="shared" si="25"/>
        <v>#DIV/0!</v>
      </c>
      <c r="BO18" s="807">
        <f t="shared" si="26"/>
        <v>1</v>
      </c>
      <c r="BP18" s="807" t="e">
        <f t="shared" si="27"/>
        <v>#DIV/0!</v>
      </c>
      <c r="BQ18" s="1069" t="s">
        <v>2012</v>
      </c>
      <c r="BR18" s="631">
        <f t="shared" si="28"/>
        <v>1</v>
      </c>
      <c r="BS18" s="631" t="str">
        <f t="shared" si="29"/>
        <v>No Prog ni Ejec</v>
      </c>
      <c r="BT18" s="631">
        <f t="shared" si="30"/>
        <v>1</v>
      </c>
      <c r="BU18" s="631" t="str">
        <f t="shared" si="31"/>
        <v>No Prog ni Ejec</v>
      </c>
      <c r="BV18" s="631">
        <f t="shared" si="32"/>
        <v>1</v>
      </c>
      <c r="BW18" s="631" t="str">
        <f t="shared" si="33"/>
        <v>No Prog ni Ejec</v>
      </c>
      <c r="BX18" s="631">
        <f t="shared" si="34"/>
        <v>1</v>
      </c>
      <c r="BY18" s="685" t="str">
        <f t="shared" si="35"/>
        <v>No Prog ni Ejec</v>
      </c>
      <c r="BZ18" s="148">
        <f t="shared" si="1"/>
        <v>0</v>
      </c>
      <c r="CA18" s="760">
        <f t="shared" si="0"/>
        <v>0</v>
      </c>
    </row>
    <row r="19" spans="1:79" s="69" customFormat="1" ht="153" x14ac:dyDescent="0.2">
      <c r="A19" s="813">
        <v>11500</v>
      </c>
      <c r="B19" s="806" t="s">
        <v>13</v>
      </c>
      <c r="C19" s="806" t="s">
        <v>330</v>
      </c>
      <c r="D19" s="822" t="s">
        <v>1017</v>
      </c>
      <c r="E19" s="822"/>
      <c r="F19" s="814" t="s">
        <v>95</v>
      </c>
      <c r="G19" s="806" t="s">
        <v>345</v>
      </c>
      <c r="H19" s="814" t="s">
        <v>110</v>
      </c>
      <c r="I19" s="806" t="s">
        <v>339</v>
      </c>
      <c r="J19" s="814" t="s">
        <v>589</v>
      </c>
      <c r="K19" s="806" t="s">
        <v>410</v>
      </c>
      <c r="L19" s="817" t="s">
        <v>169</v>
      </c>
      <c r="M19" s="805">
        <v>1</v>
      </c>
      <c r="N19" s="814" t="s">
        <v>587</v>
      </c>
      <c r="O19" s="65" t="s">
        <v>1474</v>
      </c>
      <c r="P19" s="825">
        <v>0</v>
      </c>
      <c r="Q19" s="811">
        <v>1</v>
      </c>
      <c r="R19" s="806" t="s">
        <v>17</v>
      </c>
      <c r="S19" s="806" t="s">
        <v>26</v>
      </c>
      <c r="T19" s="806" t="s">
        <v>629</v>
      </c>
      <c r="U19" s="806" t="s">
        <v>632</v>
      </c>
      <c r="V19" s="806" t="s">
        <v>71</v>
      </c>
      <c r="W19" s="806" t="s">
        <v>1261</v>
      </c>
      <c r="X19" s="806" t="s">
        <v>1476</v>
      </c>
      <c r="Y19" s="806" t="s">
        <v>284</v>
      </c>
      <c r="Z19" s="807">
        <v>1</v>
      </c>
      <c r="AA19" s="806" t="str">
        <f t="shared" si="10"/>
        <v>Ordenar el pago de los paquetes de reclamaciones cuyo trámite de auditoría se encuentre certificado o haya sido allegado el auto de desistimiento para el caso de reclamaciones inmersas en procesos judiciales</v>
      </c>
      <c r="AB19" s="812">
        <f t="shared" si="11"/>
        <v>0</v>
      </c>
      <c r="AC19" s="836" t="s">
        <v>48</v>
      </c>
      <c r="AD19" s="807">
        <v>0.25</v>
      </c>
      <c r="AE19" s="806" t="str">
        <f t="shared" si="36"/>
        <v>Ordenar el pago de los paquetes de reclamaciones cuyo trámite de auditoría se encuentre certificado o haya sido allegado el auto de desistimiento para el caso de reclamaciones inmersas en procesos judiciales</v>
      </c>
      <c r="AF19" s="810">
        <v>0</v>
      </c>
      <c r="AG19" s="461">
        <f>(10/10)*25%</f>
        <v>0.25</v>
      </c>
      <c r="AH19" s="487">
        <v>0</v>
      </c>
      <c r="AI19" s="807">
        <f t="shared" si="12"/>
        <v>1</v>
      </c>
      <c r="AJ19" s="807" t="e">
        <f t="shared" si="13"/>
        <v>#DIV/0!</v>
      </c>
      <c r="AK19" s="807">
        <f t="shared" si="14"/>
        <v>0.25</v>
      </c>
      <c r="AL19" s="807" t="e">
        <f t="shared" si="15"/>
        <v>#DIV/0!</v>
      </c>
      <c r="AM19" s="465" t="s">
        <v>1323</v>
      </c>
      <c r="AN19" s="807">
        <v>0.25</v>
      </c>
      <c r="AO19" s="806" t="str">
        <f t="shared" si="37"/>
        <v>Ordenar el pago de los paquetes de reclamaciones cuyo trámite de auditoría se encuentre certificado o haya sido allegado el auto de desistimiento para el caso de reclamaciones inmersas en procesos judiciales</v>
      </c>
      <c r="AP19" s="810">
        <v>0</v>
      </c>
      <c r="AQ19" s="827">
        <f>(23/23)*25%</f>
        <v>0.25</v>
      </c>
      <c r="AR19" s="810">
        <v>0</v>
      </c>
      <c r="AS19" s="807">
        <f t="shared" si="16"/>
        <v>1</v>
      </c>
      <c r="AT19" s="807" t="e">
        <f t="shared" si="17"/>
        <v>#DIV/0!</v>
      </c>
      <c r="AU19" s="807">
        <f t="shared" si="18"/>
        <v>0.5</v>
      </c>
      <c r="AV19" s="807" t="e">
        <f t="shared" si="19"/>
        <v>#DIV/0!</v>
      </c>
      <c r="AW19" s="808" t="s">
        <v>1685</v>
      </c>
      <c r="AX19" s="807">
        <v>0.25</v>
      </c>
      <c r="AY19" s="806" t="str">
        <f t="shared" si="39"/>
        <v>Ordenar el pago de los paquetes de reclamaciones cuyo trámite de auditoría se encuentre certificado o haya sido allegado el auto de desistimiento para el caso de reclamaciones inmersas en procesos judiciales</v>
      </c>
      <c r="AZ19" s="810">
        <v>0</v>
      </c>
      <c r="BA19" s="924">
        <f>(35/35)*25%</f>
        <v>0.25</v>
      </c>
      <c r="BB19" s="929">
        <v>0</v>
      </c>
      <c r="BC19" s="807">
        <f t="shared" si="20"/>
        <v>1</v>
      </c>
      <c r="BD19" s="807" t="e">
        <f t="shared" si="21"/>
        <v>#DIV/0!</v>
      </c>
      <c r="BE19" s="807">
        <f t="shared" si="22"/>
        <v>0.75</v>
      </c>
      <c r="BF19" s="807" t="e">
        <f t="shared" si="23"/>
        <v>#DIV/0!</v>
      </c>
      <c r="BG19" s="459" t="s">
        <v>1838</v>
      </c>
      <c r="BH19" s="807">
        <v>0.25</v>
      </c>
      <c r="BI19" s="806" t="str">
        <f t="shared" si="38"/>
        <v>Ordenar el pago de los paquetes de reclamaciones cuyo trámite de auditoría se encuentre certificado o haya sido allegado el auto de desistimiento para el caso de reclamaciones inmersas en procesos judiciales</v>
      </c>
      <c r="BJ19" s="810">
        <v>0</v>
      </c>
      <c r="BK19" s="1063">
        <f>(19/19)*25%</f>
        <v>0.25</v>
      </c>
      <c r="BL19" s="1064">
        <v>0</v>
      </c>
      <c r="BM19" s="807">
        <f t="shared" si="24"/>
        <v>1</v>
      </c>
      <c r="BN19" s="807" t="e">
        <f t="shared" si="25"/>
        <v>#DIV/0!</v>
      </c>
      <c r="BO19" s="807">
        <f t="shared" si="26"/>
        <v>1</v>
      </c>
      <c r="BP19" s="807" t="e">
        <f t="shared" si="27"/>
        <v>#DIV/0!</v>
      </c>
      <c r="BQ19" s="1069" t="s">
        <v>2013</v>
      </c>
      <c r="BR19" s="631">
        <f t="shared" si="28"/>
        <v>1</v>
      </c>
      <c r="BS19" s="631" t="str">
        <f t="shared" si="29"/>
        <v>No Prog ni Ejec</v>
      </c>
      <c r="BT19" s="631">
        <f t="shared" si="30"/>
        <v>1</v>
      </c>
      <c r="BU19" s="631" t="str">
        <f t="shared" si="31"/>
        <v>No Prog ni Ejec</v>
      </c>
      <c r="BV19" s="631">
        <f t="shared" si="32"/>
        <v>1</v>
      </c>
      <c r="BW19" s="631" t="str">
        <f t="shared" si="33"/>
        <v>No Prog ni Ejec</v>
      </c>
      <c r="BX19" s="631">
        <f t="shared" si="34"/>
        <v>1</v>
      </c>
      <c r="BY19" s="685" t="str">
        <f t="shared" si="35"/>
        <v>No Prog ni Ejec</v>
      </c>
      <c r="BZ19" s="148">
        <f t="shared" si="1"/>
        <v>0</v>
      </c>
      <c r="CA19" s="760">
        <f t="shared" si="0"/>
        <v>0</v>
      </c>
    </row>
    <row r="20" spans="1:79" s="69" customFormat="1" ht="89.25" x14ac:dyDescent="0.2">
      <c r="A20" s="813">
        <v>11500</v>
      </c>
      <c r="B20" s="806" t="s">
        <v>13</v>
      </c>
      <c r="C20" s="806" t="s">
        <v>330</v>
      </c>
      <c r="D20" s="822" t="s">
        <v>1017</v>
      </c>
      <c r="E20" s="822"/>
      <c r="F20" s="814" t="s">
        <v>95</v>
      </c>
      <c r="G20" s="806" t="s">
        <v>345</v>
      </c>
      <c r="H20" s="814" t="s">
        <v>110</v>
      </c>
      <c r="I20" s="806" t="s">
        <v>339</v>
      </c>
      <c r="J20" s="814" t="s">
        <v>588</v>
      </c>
      <c r="K20" s="806" t="s">
        <v>411</v>
      </c>
      <c r="L20" s="817" t="s">
        <v>169</v>
      </c>
      <c r="M20" s="805">
        <v>1</v>
      </c>
      <c r="N20" s="814" t="s">
        <v>582</v>
      </c>
      <c r="O20" s="65" t="s">
        <v>414</v>
      </c>
      <c r="P20" s="825">
        <v>0</v>
      </c>
      <c r="Q20" s="811">
        <v>1</v>
      </c>
      <c r="R20" s="806" t="s">
        <v>18</v>
      </c>
      <c r="S20" s="806" t="s">
        <v>24</v>
      </c>
      <c r="T20" s="806" t="s">
        <v>629</v>
      </c>
      <c r="U20" s="806" t="s">
        <v>632</v>
      </c>
      <c r="V20" s="806" t="s">
        <v>71</v>
      </c>
      <c r="W20" s="806" t="s">
        <v>204</v>
      </c>
      <c r="X20" s="806" t="s">
        <v>1477</v>
      </c>
      <c r="Y20" s="806" t="s">
        <v>40</v>
      </c>
      <c r="Z20" s="805">
        <v>1</v>
      </c>
      <c r="AA20" s="806" t="str">
        <f t="shared" si="10"/>
        <v>Solicitar la publicación del los giros ordenados por reclamaciones</v>
      </c>
      <c r="AB20" s="812">
        <f t="shared" si="11"/>
        <v>0</v>
      </c>
      <c r="AC20" s="836" t="s">
        <v>48</v>
      </c>
      <c r="AD20" s="807">
        <v>0.25</v>
      </c>
      <c r="AE20" s="806" t="str">
        <f t="shared" si="36"/>
        <v>Solicitar la publicación del los giros ordenados por reclamaciones</v>
      </c>
      <c r="AF20" s="810">
        <v>0</v>
      </c>
      <c r="AG20" s="461">
        <f>(10/10)*25%</f>
        <v>0.25</v>
      </c>
      <c r="AH20" s="487">
        <v>0</v>
      </c>
      <c r="AI20" s="807">
        <f t="shared" si="12"/>
        <v>1</v>
      </c>
      <c r="AJ20" s="807" t="e">
        <f t="shared" si="13"/>
        <v>#DIV/0!</v>
      </c>
      <c r="AK20" s="807">
        <f t="shared" si="14"/>
        <v>0.25</v>
      </c>
      <c r="AL20" s="807" t="e">
        <f t="shared" si="15"/>
        <v>#DIV/0!</v>
      </c>
      <c r="AM20" s="464" t="s">
        <v>1324</v>
      </c>
      <c r="AN20" s="807">
        <v>0.25</v>
      </c>
      <c r="AO20" s="806" t="str">
        <f t="shared" si="37"/>
        <v>Solicitar la publicación del los giros ordenados por reclamaciones</v>
      </c>
      <c r="AP20" s="810">
        <v>0</v>
      </c>
      <c r="AQ20" s="827">
        <f>(23/23)*25%</f>
        <v>0.25</v>
      </c>
      <c r="AR20" s="810">
        <v>0</v>
      </c>
      <c r="AS20" s="807">
        <f t="shared" si="16"/>
        <v>1</v>
      </c>
      <c r="AT20" s="807" t="e">
        <f t="shared" si="17"/>
        <v>#DIV/0!</v>
      </c>
      <c r="AU20" s="807">
        <f t="shared" si="18"/>
        <v>0.5</v>
      </c>
      <c r="AV20" s="807" t="e">
        <f t="shared" si="19"/>
        <v>#DIV/0!</v>
      </c>
      <c r="AW20" s="808" t="s">
        <v>1686</v>
      </c>
      <c r="AX20" s="807">
        <v>0.25</v>
      </c>
      <c r="AY20" s="806" t="str">
        <f t="shared" si="39"/>
        <v>Solicitar la publicación del los giros ordenados por reclamaciones</v>
      </c>
      <c r="AZ20" s="810">
        <v>0</v>
      </c>
      <c r="BA20" s="924">
        <f>(35/35)*25%</f>
        <v>0.25</v>
      </c>
      <c r="BB20" s="929">
        <v>0</v>
      </c>
      <c r="BC20" s="807">
        <f t="shared" si="20"/>
        <v>1</v>
      </c>
      <c r="BD20" s="807" t="e">
        <f t="shared" si="21"/>
        <v>#DIV/0!</v>
      </c>
      <c r="BE20" s="807">
        <f t="shared" si="22"/>
        <v>0.75</v>
      </c>
      <c r="BF20" s="807" t="e">
        <f t="shared" si="23"/>
        <v>#DIV/0!</v>
      </c>
      <c r="BG20" s="459" t="s">
        <v>1839</v>
      </c>
      <c r="BH20" s="807">
        <v>0.25</v>
      </c>
      <c r="BI20" s="806" t="str">
        <f t="shared" si="38"/>
        <v>Solicitar la publicación del los giros ordenados por reclamaciones</v>
      </c>
      <c r="BJ20" s="810">
        <v>0</v>
      </c>
      <c r="BK20" s="1063">
        <f>(19/19)*25%</f>
        <v>0.25</v>
      </c>
      <c r="BL20" s="1064">
        <v>0</v>
      </c>
      <c r="BM20" s="807">
        <f t="shared" si="24"/>
        <v>1</v>
      </c>
      <c r="BN20" s="807" t="e">
        <f t="shared" si="25"/>
        <v>#DIV/0!</v>
      </c>
      <c r="BO20" s="807">
        <f t="shared" si="26"/>
        <v>1</v>
      </c>
      <c r="BP20" s="807" t="e">
        <f t="shared" si="27"/>
        <v>#DIV/0!</v>
      </c>
      <c r="BQ20" s="1069" t="s">
        <v>2014</v>
      </c>
      <c r="BR20" s="631">
        <f t="shared" si="28"/>
        <v>1</v>
      </c>
      <c r="BS20" s="631" t="str">
        <f t="shared" si="29"/>
        <v>No Prog ni Ejec</v>
      </c>
      <c r="BT20" s="631">
        <f t="shared" si="30"/>
        <v>1</v>
      </c>
      <c r="BU20" s="631" t="str">
        <f t="shared" si="31"/>
        <v>No Prog ni Ejec</v>
      </c>
      <c r="BV20" s="631">
        <f t="shared" si="32"/>
        <v>1</v>
      </c>
      <c r="BW20" s="631" t="str">
        <f t="shared" si="33"/>
        <v>No Prog ni Ejec</v>
      </c>
      <c r="BX20" s="631">
        <f t="shared" si="34"/>
        <v>1</v>
      </c>
      <c r="BY20" s="685" t="str">
        <f t="shared" si="35"/>
        <v>No Prog ni Ejec</v>
      </c>
      <c r="BZ20" s="148">
        <f t="shared" si="1"/>
        <v>0</v>
      </c>
      <c r="CA20" s="760">
        <f t="shared" si="0"/>
        <v>0</v>
      </c>
    </row>
    <row r="21" spans="1:79" s="69" customFormat="1" ht="409.5" customHeight="1" x14ac:dyDescent="0.2">
      <c r="A21" s="1209">
        <v>11600</v>
      </c>
      <c r="B21" s="806" t="s">
        <v>4</v>
      </c>
      <c r="C21" s="1201" t="s">
        <v>330</v>
      </c>
      <c r="D21" s="822" t="s">
        <v>1017</v>
      </c>
      <c r="E21" s="822" t="s">
        <v>1017</v>
      </c>
      <c r="F21" s="1210" t="s">
        <v>99</v>
      </c>
      <c r="G21" s="1201" t="s">
        <v>348</v>
      </c>
      <c r="H21" s="1211" t="s">
        <v>101</v>
      </c>
      <c r="I21" s="1201" t="s">
        <v>341</v>
      </c>
      <c r="J21" s="814" t="s">
        <v>569</v>
      </c>
      <c r="K21" s="806" t="s">
        <v>1067</v>
      </c>
      <c r="L21" s="817" t="s">
        <v>51</v>
      </c>
      <c r="M21" s="805">
        <v>0.1</v>
      </c>
      <c r="N21" s="1210" t="s">
        <v>104</v>
      </c>
      <c r="O21" s="1201" t="s">
        <v>1075</v>
      </c>
      <c r="P21" s="1205">
        <v>146880000</v>
      </c>
      <c r="Q21" s="1206">
        <v>1</v>
      </c>
      <c r="R21" s="1201" t="s">
        <v>18</v>
      </c>
      <c r="S21" s="1201" t="s">
        <v>24</v>
      </c>
      <c r="T21" s="1201" t="s">
        <v>629</v>
      </c>
      <c r="U21" s="1201" t="s">
        <v>632</v>
      </c>
      <c r="V21" s="1201" t="s">
        <v>1584</v>
      </c>
      <c r="W21" s="1201" t="s">
        <v>1262</v>
      </c>
      <c r="X21" s="806" t="s">
        <v>1070</v>
      </c>
      <c r="Y21" s="1201" t="s">
        <v>42</v>
      </c>
      <c r="Z21" s="456">
        <v>0.1</v>
      </c>
      <c r="AA21" s="1201"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1207">
        <f>+P21</f>
        <v>146880000</v>
      </c>
      <c r="AC21" s="836" t="s">
        <v>46</v>
      </c>
      <c r="AD21" s="125">
        <v>2.5000000000000001E-2</v>
      </c>
      <c r="AE21" s="1201" t="str">
        <f t="shared" si="36"/>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1205">
        <f>+AB21/4</f>
        <v>36720000</v>
      </c>
      <c r="AG21" s="457">
        <f>(18595/743779)</f>
        <v>2.5000705854830534E-2</v>
      </c>
      <c r="AH21" s="1256">
        <f>(272000+4080000+4080000)+(272000+4080000+4080000)+(0+2448000+4080000)</f>
        <v>23392000</v>
      </c>
      <c r="AI21" s="807">
        <f>+(AG21/AD21)</f>
        <v>1.0000282341932214</v>
      </c>
      <c r="AJ21" s="1202">
        <f>+(AH21/AF21)</f>
        <v>0.63703703703703707</v>
      </c>
      <c r="AK21" s="807">
        <f>+(AG21/Z21)</f>
        <v>0.25000705854830535</v>
      </c>
      <c r="AL21" s="1202">
        <f>+(AH21/AB21)</f>
        <v>0.15925925925925927</v>
      </c>
      <c r="AM21" s="458" t="s">
        <v>1720</v>
      </c>
      <c r="AN21" s="125">
        <v>2.5000000000000001E-2</v>
      </c>
      <c r="AO21" s="1201"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1205">
        <f>+AB21/4</f>
        <v>36720000</v>
      </c>
      <c r="AQ21" s="678">
        <f>(16307/652266)</f>
        <v>2.5000536590900031E-2</v>
      </c>
      <c r="AR21" s="1205">
        <f>(4080000+4080000+4080000)+(4080000+4080000+4080000)+(4080000+4080000+4080000)</f>
        <v>36720000</v>
      </c>
      <c r="AS21" s="807">
        <f>+(AQ21/AN21)</f>
        <v>1.0000214636360012</v>
      </c>
      <c r="AT21" s="1202">
        <f>+(AR21/AP21)</f>
        <v>1</v>
      </c>
      <c r="AU21" s="807">
        <f>+(AQ21+AG21)/Z21</f>
        <v>0.50001242445730565</v>
      </c>
      <c r="AV21" s="1202">
        <f>+(AR21+AH21)/AB21</f>
        <v>0.40925925925925927</v>
      </c>
      <c r="AW21" s="808" t="s">
        <v>1721</v>
      </c>
      <c r="AX21" s="125">
        <v>2.5000000000000001E-2</v>
      </c>
      <c r="AY21" s="1201"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1205">
        <f>+AB21/4</f>
        <v>36720000</v>
      </c>
      <c r="BA21" s="125">
        <v>2.5000000000000001E-2</v>
      </c>
      <c r="BB21" s="1257">
        <f>(4080000+4080000+4080000)+ (4080000+4080000+4080000)+(4080000+4080000+4080000)</f>
        <v>36720000</v>
      </c>
      <c r="BC21" s="807">
        <f>+(BA21/AX21)</f>
        <v>1</v>
      </c>
      <c r="BD21" s="1202">
        <f>+(BB21/AZ21)</f>
        <v>1</v>
      </c>
      <c r="BE21" s="807">
        <f>+(AQ21+AG21+BA21)/Z21</f>
        <v>0.75001242445730554</v>
      </c>
      <c r="BF21" s="1202">
        <f>+(AR21+AH21+BB21)/AB21</f>
        <v>0.65925925925925921</v>
      </c>
      <c r="BG21" s="459" t="s">
        <v>1811</v>
      </c>
      <c r="BH21" s="125">
        <v>2.5000000000000001E-2</v>
      </c>
      <c r="BI21" s="1201"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1205">
        <f>+AB21/4</f>
        <v>36720000</v>
      </c>
      <c r="BK21" s="125">
        <v>2.5000000000000001E-2</v>
      </c>
      <c r="BL21" s="1256">
        <f>(4080000+4080000+4080000)+ (4080000+4080000+4080000)+(4080000+4080000+4080000)</f>
        <v>36720000</v>
      </c>
      <c r="BM21" s="807">
        <f>+(BK21/BH21)</f>
        <v>1</v>
      </c>
      <c r="BN21" s="1202">
        <f>+(BL21/BJ21)</f>
        <v>1</v>
      </c>
      <c r="BO21" s="807">
        <f>+(AQ21+AG21+BA21+BK21)/Z21</f>
        <v>1.0000124244573054</v>
      </c>
      <c r="BP21" s="1202">
        <f>+(AR21+AH21+BB21+BL21)/AB21</f>
        <v>0.90925925925925921</v>
      </c>
      <c r="BQ21" s="472" t="s">
        <v>1982</v>
      </c>
      <c r="BR21" s="631">
        <f>IF(AND(AD21=0,AG21=0),"No Prog ni Ejec",IF(AD21=0,CONCATENATE("No Prog, Ejec=  ",AG21),AG21/AD21))</f>
        <v>1.0000282341932214</v>
      </c>
      <c r="BS21" s="1263">
        <f>IF(AND(AF21=0,AH21=0),"No Prog ni Ejec",IF(AF21=0,CONCATENATE("No Prog, Ejec=  ",AH21),AH21/AF21))</f>
        <v>0.63703703703703707</v>
      </c>
      <c r="BT21" s="631">
        <f>IF(AND(AN21=0,AQ21=0),"No Prog ni Ejec",IF(AN21=0,CONCATENATE("No Prog, Ejec=  ",AQ21),AQ21/AN21))</f>
        <v>1.0000214636360012</v>
      </c>
      <c r="BU21" s="1263">
        <f>IF(AND(AP21=0,AR21=0),"No Prog ni Ejec",IF(AP21=0,CONCATENATE("No Prog, Ejec=  ",AR21),AR21/AP21))</f>
        <v>1</v>
      </c>
      <c r="BV21" s="631">
        <f>IF(AND(AX21=0,BA21=0),"No Prog ni Ejec",IF(AX21=0,CONCATENATE("No Prog, Ejec=  ",BA21),BA21/AX21))</f>
        <v>1</v>
      </c>
      <c r="BW21" s="1263">
        <f>IF(AND(AZ21=0,BB21=0),"No Prog ni Ejec",IF(AZ21=0,CONCATENATE("No Prog, Ejec=  ",BB21),BB21/AZ21))</f>
        <v>1</v>
      </c>
      <c r="BX21" s="631">
        <f>IF(AND(BH21=0,BK21=0),"No Prog ni Ejec",IF(BH21=0,CONCATENATE("No Prog, Ejec=  ",BK21),BK21/BH21))</f>
        <v>1</v>
      </c>
      <c r="BY21" s="1262">
        <f>IF(AND(BJ21=0,BL21=0),"No Prog ni Ejec",IF(BJ21=0,CONCATENATE("No Prog, Ejec=  ",BL21),BL21/BJ21))</f>
        <v>1</v>
      </c>
      <c r="BZ21" s="148">
        <f t="shared" si="1"/>
        <v>0</v>
      </c>
    </row>
    <row r="22" spans="1:79" s="69" customFormat="1" ht="200.25" customHeight="1" x14ac:dyDescent="0.2">
      <c r="A22" s="1209"/>
      <c r="B22" s="806" t="s">
        <v>4</v>
      </c>
      <c r="C22" s="1201"/>
      <c r="D22" s="822" t="s">
        <v>1017</v>
      </c>
      <c r="E22" s="822" t="s">
        <v>1017</v>
      </c>
      <c r="F22" s="1210"/>
      <c r="G22" s="1201"/>
      <c r="H22" s="1211"/>
      <c r="I22" s="1201"/>
      <c r="J22" s="814" t="s">
        <v>1076</v>
      </c>
      <c r="K22" s="806" t="s">
        <v>1068</v>
      </c>
      <c r="L22" s="1214" t="s">
        <v>51</v>
      </c>
      <c r="M22" s="1199">
        <v>1</v>
      </c>
      <c r="N22" s="1210"/>
      <c r="O22" s="1201"/>
      <c r="P22" s="1205"/>
      <c r="Q22" s="1206"/>
      <c r="R22" s="1201"/>
      <c r="S22" s="1201"/>
      <c r="T22" s="1201"/>
      <c r="U22" s="1201"/>
      <c r="V22" s="1201"/>
      <c r="W22" s="1201"/>
      <c r="X22" s="1201" t="s">
        <v>1072</v>
      </c>
      <c r="Y22" s="1201"/>
      <c r="Z22" s="1199">
        <v>1</v>
      </c>
      <c r="AA22" s="1201"/>
      <c r="AB22" s="1207"/>
      <c r="AC22" s="836" t="s">
        <v>46</v>
      </c>
      <c r="AD22" s="1202">
        <v>0.25</v>
      </c>
      <c r="AE22" s="1201"/>
      <c r="AF22" s="1205"/>
      <c r="AG22" s="1295">
        <f>(((((44760+36947)/81707)+((1745+4284)/6029))*AD22))/2</f>
        <v>0.25</v>
      </c>
      <c r="AH22" s="1256"/>
      <c r="AI22" s="1202">
        <f>+(AG22/AD22)</f>
        <v>1</v>
      </c>
      <c r="AJ22" s="1202"/>
      <c r="AK22" s="1202">
        <f>+(AG22/Z22)</f>
        <v>0.25</v>
      </c>
      <c r="AL22" s="1202"/>
      <c r="AM22" s="1208" t="s">
        <v>1309</v>
      </c>
      <c r="AN22" s="1202">
        <v>0.25</v>
      </c>
      <c r="AO22" s="1201"/>
      <c r="AP22" s="1205"/>
      <c r="AQ22" s="1196">
        <f>(((912+0)/912)*AN22+((27386+45895 )/73281)*AN22)/2</f>
        <v>0.25</v>
      </c>
      <c r="AR22" s="1205"/>
      <c r="AS22" s="1202">
        <f>+(AQ22/AN22)</f>
        <v>1</v>
      </c>
      <c r="AT22" s="1202"/>
      <c r="AU22" s="1202">
        <f>+(AQ22+AG22)/Z22</f>
        <v>0.5</v>
      </c>
      <c r="AV22" s="1202"/>
      <c r="AW22" s="1203" t="s">
        <v>1652</v>
      </c>
      <c r="AX22" s="1202">
        <v>0.25</v>
      </c>
      <c r="AY22" s="1201"/>
      <c r="AZ22" s="1205"/>
      <c r="BA22" s="1202">
        <f>(((1323+0)/1323)*AN22+((11231+5949 )/17180)*AN22)/2</f>
        <v>0.25</v>
      </c>
      <c r="BB22" s="1258"/>
      <c r="BC22" s="1202">
        <f>+(BA22/AX22)</f>
        <v>1</v>
      </c>
      <c r="BD22" s="1202"/>
      <c r="BE22" s="1202">
        <f>+(AQ22+AG22+BA22)/Z22</f>
        <v>0.75</v>
      </c>
      <c r="BF22" s="1202"/>
      <c r="BG22" s="1260" t="s">
        <v>1942</v>
      </c>
      <c r="BH22" s="1202">
        <v>0.25</v>
      </c>
      <c r="BI22" s="1201"/>
      <c r="BJ22" s="1205"/>
      <c r="BK22" s="1206">
        <f>(((1+11+291933)/291945)*BH22+((27874+4656+23301+7559)/(27874+4656+23301+7559))*BH22)/2</f>
        <v>0.25</v>
      </c>
      <c r="BL22" s="1256"/>
      <c r="BM22" s="1202">
        <f>+(BK22/BH22)</f>
        <v>1</v>
      </c>
      <c r="BN22" s="1202"/>
      <c r="BO22" s="1202">
        <f>+(AQ22+AG22+BA22+BK22)/Z22</f>
        <v>1</v>
      </c>
      <c r="BP22" s="1202"/>
      <c r="BQ22" s="1260" t="s">
        <v>1983</v>
      </c>
      <c r="BR22" s="1263">
        <f>IF(AND(AD22=0,AG22=0),"No Prog ni Ejec",IF(AD22=0,CONCATENATE("No Prog, Ejec=  ",AG22),AG22/AD22))</f>
        <v>1</v>
      </c>
      <c r="BS22" s="1263"/>
      <c r="BT22" s="1263">
        <f>IF(AND(AN22=0,AQ22=0),"No Prog ni Ejec",IF(AN22=0,CONCATENATE("No Prog, Ejec=  ",AQ22),AQ22/AN22))</f>
        <v>1</v>
      </c>
      <c r="BU22" s="1263"/>
      <c r="BV22" s="1263">
        <f>IF(AND(AX22=0,BA22=0),"No Prog ni Ejec",IF(AX22=0,CONCATENATE("No Prog, Ejec=  ",BA22),BA22/AX22))</f>
        <v>1</v>
      </c>
      <c r="BW22" s="1263"/>
      <c r="BX22" s="1263">
        <f>IF(AND(BH22=0,BK22=0),"No Prog ni Ejec",IF(BH22=0,CONCATENATE("No Prog, Ejec=  ",BK22),BK22/BH22))</f>
        <v>1</v>
      </c>
      <c r="BY22" s="1262"/>
      <c r="BZ22" s="148">
        <f t="shared" si="1"/>
        <v>0</v>
      </c>
    </row>
    <row r="23" spans="1:79" s="69" customFormat="1" ht="218.25" customHeight="1" x14ac:dyDescent="0.2">
      <c r="A23" s="1209"/>
      <c r="B23" s="806" t="s">
        <v>4</v>
      </c>
      <c r="C23" s="1201"/>
      <c r="D23" s="822" t="s">
        <v>1017</v>
      </c>
      <c r="E23" s="822" t="s">
        <v>1017</v>
      </c>
      <c r="F23" s="1210"/>
      <c r="G23" s="1201"/>
      <c r="H23" s="1211"/>
      <c r="I23" s="1201"/>
      <c r="J23" s="814" t="s">
        <v>1077</v>
      </c>
      <c r="K23" s="806" t="s">
        <v>1069</v>
      </c>
      <c r="L23" s="1214"/>
      <c r="M23" s="1199"/>
      <c r="N23" s="1210"/>
      <c r="O23" s="1201"/>
      <c r="P23" s="1205"/>
      <c r="Q23" s="1206"/>
      <c r="R23" s="1201"/>
      <c r="S23" s="1201"/>
      <c r="T23" s="1201"/>
      <c r="U23" s="1201"/>
      <c r="V23" s="1201"/>
      <c r="W23" s="1201"/>
      <c r="X23" s="1201"/>
      <c r="Y23" s="1201"/>
      <c r="Z23" s="1199"/>
      <c r="AA23" s="1201"/>
      <c r="AB23" s="1207"/>
      <c r="AC23" s="836" t="s">
        <v>46</v>
      </c>
      <c r="AD23" s="1202"/>
      <c r="AE23" s="1201"/>
      <c r="AF23" s="1205"/>
      <c r="AG23" s="1295"/>
      <c r="AH23" s="1256"/>
      <c r="AI23" s="1202"/>
      <c r="AJ23" s="1202"/>
      <c r="AK23" s="1202"/>
      <c r="AL23" s="1202"/>
      <c r="AM23" s="1196"/>
      <c r="AN23" s="1202"/>
      <c r="AO23" s="1201"/>
      <c r="AP23" s="1205"/>
      <c r="AQ23" s="1196"/>
      <c r="AR23" s="1205"/>
      <c r="AS23" s="1202"/>
      <c r="AT23" s="1202"/>
      <c r="AU23" s="1202"/>
      <c r="AV23" s="1202"/>
      <c r="AW23" s="1204"/>
      <c r="AX23" s="1202"/>
      <c r="AY23" s="1201"/>
      <c r="AZ23" s="1205"/>
      <c r="BA23" s="1202"/>
      <c r="BB23" s="1258"/>
      <c r="BC23" s="1202"/>
      <c r="BD23" s="1202"/>
      <c r="BE23" s="1202"/>
      <c r="BF23" s="1202"/>
      <c r="BG23" s="1261"/>
      <c r="BH23" s="1202"/>
      <c r="BI23" s="1201"/>
      <c r="BJ23" s="1205"/>
      <c r="BK23" s="1206"/>
      <c r="BL23" s="1256"/>
      <c r="BM23" s="1202"/>
      <c r="BN23" s="1202"/>
      <c r="BO23" s="1202"/>
      <c r="BP23" s="1202"/>
      <c r="BQ23" s="1261"/>
      <c r="BR23" s="1263"/>
      <c r="BS23" s="1263"/>
      <c r="BT23" s="1263"/>
      <c r="BU23" s="1263"/>
      <c r="BV23" s="1263"/>
      <c r="BW23" s="1263"/>
      <c r="BX23" s="1263"/>
      <c r="BY23" s="1262"/>
      <c r="BZ23" s="148">
        <f t="shared" si="1"/>
        <v>0</v>
      </c>
    </row>
    <row r="24" spans="1:79" s="69" customFormat="1" ht="359.25" customHeight="1" x14ac:dyDescent="0.2">
      <c r="A24" s="1209"/>
      <c r="B24" s="806" t="s">
        <v>4</v>
      </c>
      <c r="C24" s="1201"/>
      <c r="D24" s="822" t="s">
        <v>1017</v>
      </c>
      <c r="E24" s="822" t="s">
        <v>1017</v>
      </c>
      <c r="F24" s="1210"/>
      <c r="G24" s="1201"/>
      <c r="H24" s="1211"/>
      <c r="I24" s="1201"/>
      <c r="J24" s="814" t="s">
        <v>1078</v>
      </c>
      <c r="K24" s="806" t="s">
        <v>385</v>
      </c>
      <c r="L24" s="817" t="s">
        <v>51</v>
      </c>
      <c r="M24" s="805">
        <v>1</v>
      </c>
      <c r="N24" s="1210"/>
      <c r="O24" s="1201"/>
      <c r="P24" s="1205"/>
      <c r="Q24" s="1206"/>
      <c r="R24" s="1201"/>
      <c r="S24" s="1201"/>
      <c r="T24" s="1201"/>
      <c r="U24" s="1201"/>
      <c r="V24" s="1201"/>
      <c r="W24" s="1201"/>
      <c r="X24" s="806" t="s">
        <v>1071</v>
      </c>
      <c r="Y24" s="1201"/>
      <c r="Z24" s="456">
        <v>1</v>
      </c>
      <c r="AA24" s="1201"/>
      <c r="AB24" s="1207"/>
      <c r="AC24" s="836" t="s">
        <v>46</v>
      </c>
      <c r="AD24" s="805">
        <v>0.25</v>
      </c>
      <c r="AE24" s="1201"/>
      <c r="AF24" s="1205"/>
      <c r="AG24" s="488">
        <f>(((632/642)+(55/55))/2)*AD24</f>
        <v>0.24805295950155765</v>
      </c>
      <c r="AH24" s="1256"/>
      <c r="AI24" s="807">
        <f>+(AG24/AD24)</f>
        <v>0.99221183800623058</v>
      </c>
      <c r="AJ24" s="1202"/>
      <c r="AK24" s="807">
        <f>+(AG24/Z24)</f>
        <v>0.24805295950155765</v>
      </c>
      <c r="AL24" s="1202"/>
      <c r="AM24" s="472" t="s">
        <v>1310</v>
      </c>
      <c r="AN24" s="805">
        <v>0.25</v>
      </c>
      <c r="AO24" s="1201"/>
      <c r="AP24" s="1205"/>
      <c r="AQ24" s="488">
        <f>(((1338)/1339)*AN24+((554 )/554)*AN24)/2</f>
        <v>0.24990664675130694</v>
      </c>
      <c r="AR24" s="1205"/>
      <c r="AS24" s="807">
        <f>+(AQ24/AN24)</f>
        <v>0.99962658700522777</v>
      </c>
      <c r="AT24" s="1202"/>
      <c r="AU24" s="807">
        <f>+(AQ24+AG24)/Z24</f>
        <v>0.49795960625286462</v>
      </c>
      <c r="AV24" s="1202"/>
      <c r="AW24" s="808" t="s">
        <v>1653</v>
      </c>
      <c r="AX24" s="805">
        <v>0.25</v>
      </c>
      <c r="AY24" s="1201"/>
      <c r="AZ24" s="1205"/>
      <c r="BA24" s="792">
        <f>(((999)/1036)*AN24+((980)/1069)*AN24)/2</f>
        <v>0.23512879192837099</v>
      </c>
      <c r="BB24" s="1259"/>
      <c r="BC24" s="807">
        <f>+(BA24/AX24)</f>
        <v>0.94051516771348398</v>
      </c>
      <c r="BD24" s="1202"/>
      <c r="BE24" s="807">
        <f>+(AQ24+AG24+BA24)/Z24</f>
        <v>0.73308839818123561</v>
      </c>
      <c r="BF24" s="1202"/>
      <c r="BG24" s="459" t="s">
        <v>1812</v>
      </c>
      <c r="BH24" s="805">
        <v>0.25</v>
      </c>
      <c r="BI24" s="1201"/>
      <c r="BJ24" s="1205"/>
      <c r="BK24" s="488">
        <f>(((385/463)+(1362/1549))/2)*BH24</f>
        <v>0.21385130377432943</v>
      </c>
      <c r="BL24" s="1256"/>
      <c r="BM24" s="807">
        <f>+(BK24/BH24)</f>
        <v>0.85540521509731771</v>
      </c>
      <c r="BN24" s="1202"/>
      <c r="BO24" s="807">
        <f>+(AQ24+AG24+BA24+BK24)/Z24</f>
        <v>0.94693970195556498</v>
      </c>
      <c r="BP24" s="1202"/>
      <c r="BQ24" s="472" t="s">
        <v>1984</v>
      </c>
      <c r="BR24" s="631">
        <f>IF(AND(AD24=0,AG24=0),"No Prog ni Ejec",IF(AD24=0,CONCATENATE("No Prog, Ejec=  ",AG24),AG24/AD24))</f>
        <v>0.99221183800623058</v>
      </c>
      <c r="BS24" s="1263"/>
      <c r="BT24" s="631">
        <f>IF(AND(AN24=0,AQ24=0),"No Prog ni Ejec",IF(AN24=0,CONCATENATE("No Prog, Ejec=  ",AQ24),AQ24/AN24))</f>
        <v>0.99962658700522777</v>
      </c>
      <c r="BU24" s="1263"/>
      <c r="BV24" s="631">
        <f>IF(AND(AX24=0,BA24=0),"No Prog ni Ejec",IF(AX24=0,CONCATENATE("No Prog, Ejec=  ",BA24),BA24/AX24))</f>
        <v>0.94051516771348398</v>
      </c>
      <c r="BW24" s="1263"/>
      <c r="BX24" s="631">
        <f>IF(AND(BH24=0,BK24=0),"No Prog ni Ejec",IF(BH24=0,CONCATENATE("No Prog, Ejec=  ",BK24),BK24/BH24))</f>
        <v>0.85540521509731771</v>
      </c>
      <c r="BY24" s="1262"/>
      <c r="BZ24" s="148">
        <f t="shared" si="1"/>
        <v>0</v>
      </c>
    </row>
    <row r="25" spans="1:79" s="69" customFormat="1" ht="408.75" customHeight="1" x14ac:dyDescent="0.2">
      <c r="A25" s="813">
        <v>11600</v>
      </c>
      <c r="B25" s="806" t="s">
        <v>4</v>
      </c>
      <c r="C25" s="806" t="s">
        <v>330</v>
      </c>
      <c r="D25" s="822" t="s">
        <v>1017</v>
      </c>
      <c r="E25" s="822" t="s">
        <v>1017</v>
      </c>
      <c r="F25" s="814" t="s">
        <v>99</v>
      </c>
      <c r="G25" s="806" t="s">
        <v>348</v>
      </c>
      <c r="H25" s="815" t="s">
        <v>101</v>
      </c>
      <c r="I25" s="806" t="s">
        <v>341</v>
      </c>
      <c r="J25" s="815" t="s">
        <v>571</v>
      </c>
      <c r="K25" s="806" t="s">
        <v>909</v>
      </c>
      <c r="L25" s="817" t="s">
        <v>51</v>
      </c>
      <c r="M25" s="805">
        <v>1</v>
      </c>
      <c r="N25" s="815" t="s">
        <v>570</v>
      </c>
      <c r="O25" s="806" t="s">
        <v>908</v>
      </c>
      <c r="P25" s="1053">
        <f>255645072+110602068</f>
        <v>366247140</v>
      </c>
      <c r="Q25" s="811">
        <v>1</v>
      </c>
      <c r="R25" s="806" t="s">
        <v>18</v>
      </c>
      <c r="S25" s="806" t="s">
        <v>24</v>
      </c>
      <c r="T25" s="806" t="s">
        <v>629</v>
      </c>
      <c r="U25" s="806" t="s">
        <v>632</v>
      </c>
      <c r="V25" s="806" t="s">
        <v>81</v>
      </c>
      <c r="W25" s="806" t="s">
        <v>1263</v>
      </c>
      <c r="X25" s="806" t="s">
        <v>1299</v>
      </c>
      <c r="Y25" s="806" t="s">
        <v>44</v>
      </c>
      <c r="Z25" s="805">
        <v>1</v>
      </c>
      <c r="AA25" s="806" t="str">
        <f t="shared" ref="AA25:AB30" si="40">+O25</f>
        <v>Desarrollo, soporte, mantenimiento, actualización e integración de los aplicativos que soportan las operaciones misionales de la Entidad</v>
      </c>
      <c r="AB25" s="812">
        <f t="shared" si="40"/>
        <v>366247140</v>
      </c>
      <c r="AC25" s="836" t="s">
        <v>46</v>
      </c>
      <c r="AD25" s="805">
        <v>0.25</v>
      </c>
      <c r="AE25" s="806" t="str">
        <f>+AA25</f>
        <v>Desarrollo, soporte, mantenimiento, actualización e integración de los aplicativos que soportan las operaciones misionales de la Entidad</v>
      </c>
      <c r="AF25" s="810">
        <v>251979557.25</v>
      </c>
      <c r="AG25" s="488">
        <f>(763/768)*AD25</f>
        <v>0.24837239583333334</v>
      </c>
      <c r="AH25" s="810">
        <f>(342456+5136839+5136839)+(0+4623155+5136839)+(0+3672000+4080000)+(147680+4430407+4430407)+(952000-544000+4080000+4080000)</f>
        <v>45704622</v>
      </c>
      <c r="AI25" s="807">
        <f>+(AG25/AD25)</f>
        <v>0.99348958333333337</v>
      </c>
      <c r="AJ25" s="807">
        <f>+(AH25/AF25)</f>
        <v>0.18138226171520111</v>
      </c>
      <c r="AK25" s="807">
        <f>+(AG25/Z25)</f>
        <v>0.24837239583333334</v>
      </c>
      <c r="AL25" s="807">
        <f>+(AH25/AB25)</f>
        <v>0.1247917512748359</v>
      </c>
      <c r="AM25" s="472" t="s">
        <v>1722</v>
      </c>
      <c r="AN25" s="805">
        <v>0.25</v>
      </c>
      <c r="AO25" s="806" t="str">
        <f>+AA25</f>
        <v>Desarrollo, soporte, mantenimiento, actualización e integración de los aplicativos que soportan las operaciones misionales de la Entidad</v>
      </c>
      <c r="AP25" s="810">
        <f>(AB25-AF25)/3</f>
        <v>38089194.25</v>
      </c>
      <c r="AQ25" s="488">
        <f>(1471/1474)*AN25</f>
        <v>0.2494911804613297</v>
      </c>
      <c r="AR25" s="810">
        <f>(5136839+5136839+5136839) + (5136839+5136839+5136839) + (4080000+4080000+4080000)+(4430407+4282726+0)+ (4080000+4080000+4080000)</f>
        <v>64014167</v>
      </c>
      <c r="AS25" s="807">
        <f>+(AQ25/AN25)</f>
        <v>0.99796472184531881</v>
      </c>
      <c r="AT25" s="807">
        <f>+(AR25/AP25)</f>
        <v>1.6806385186265786</v>
      </c>
      <c r="AU25" s="807">
        <f>+(AQ25+AG25)/Z25</f>
        <v>0.49786357629466305</v>
      </c>
      <c r="AV25" s="807">
        <f>+(AR25+AH25)/AB25</f>
        <v>0.29957582467401656</v>
      </c>
      <c r="AW25" s="808" t="s">
        <v>1723</v>
      </c>
      <c r="AX25" s="805">
        <v>0.25</v>
      </c>
      <c r="AY25" s="806" t="str">
        <f>+AA25</f>
        <v>Desarrollo, soporte, mantenimiento, actualización e integración de los aplicativos que soportan las operaciones misionales de la Entidad</v>
      </c>
      <c r="AZ25" s="810">
        <f>(AB25-AF25)/3</f>
        <v>38089194.25</v>
      </c>
      <c r="BA25" s="488">
        <f>(902/1164)*AX25</f>
        <v>0.19372852233676977</v>
      </c>
      <c r="BB25" s="911">
        <f>(5136839+5136839+5136839)+(5136839+5136839+5136839)+(4080000+4080000+4080000)+(4080000+4080000+4080000)</f>
        <v>55301034</v>
      </c>
      <c r="BC25" s="807">
        <f>+(BA25/AX25)</f>
        <v>0.77491408934707906</v>
      </c>
      <c r="BD25" s="807">
        <f>+(BB25/AZ25)</f>
        <v>1.4518824850173879</v>
      </c>
      <c r="BE25" s="807">
        <f>+(AQ25+AG25+BA25)/Z25</f>
        <v>0.69159209863143278</v>
      </c>
      <c r="BF25" s="807">
        <f>+(AR25+AH25+BB25)/AB25</f>
        <v>0.45056958806558872</v>
      </c>
      <c r="BG25" s="459" t="s">
        <v>1813</v>
      </c>
      <c r="BH25" s="805">
        <v>0.25</v>
      </c>
      <c r="BI25" s="806" t="str">
        <f>+AA25</f>
        <v>Desarrollo, soporte, mantenimiento, actualización e integración de los aplicativos que soportan las operaciones misionales de la Entidad</v>
      </c>
      <c r="BJ25" s="810">
        <f>+(P25-AF25)/3</f>
        <v>38089194.25</v>
      </c>
      <c r="BK25" s="488">
        <f>(1207/1631)*BH25</f>
        <v>0.18500919681177191</v>
      </c>
      <c r="BL25" s="1053">
        <f>(5136839+5136839+5136839)+(5136839+5136839+5136839)+(4080000+4080000+4080000)+(4080000+4080000+4080000)</f>
        <v>55301034</v>
      </c>
      <c r="BM25" s="807">
        <f>+(BK25/BH25)</f>
        <v>0.74003678724708766</v>
      </c>
      <c r="BN25" s="807">
        <f>+(BL25/BJ25)</f>
        <v>1.4518824850173879</v>
      </c>
      <c r="BO25" s="807">
        <f>+(AQ25+AG25+BA25+BK25)/Z25</f>
        <v>0.87660129544320475</v>
      </c>
      <c r="BP25" s="807">
        <f>+(AR25+AH25+BB25+BL25)/AB25</f>
        <v>0.60156335145716089</v>
      </c>
      <c r="BQ25" s="1052" t="s">
        <v>1985</v>
      </c>
      <c r="BR25" s="631">
        <f>IF(AND(AD25=0,AG25=0),"No Prog ni Ejec",IF(AD25=0,CONCATENATE("No Prog, Ejec=  ",AG25),AG25/AD25))</f>
        <v>0.99348958333333337</v>
      </c>
      <c r="BS25" s="631">
        <f>IF(AND(AF25=0,AH25=0),"No Prog ni Ejec",IF(AF25=0,CONCATENATE("No Prog, Ejec=  ",AH25),AH25/AF25))</f>
        <v>0.18138226171520111</v>
      </c>
      <c r="BT25" s="631">
        <f>IF(AND(AN25=0,AQ25=0),"No Prog ni Ejec",IF(AN25=0,CONCATENATE("No Prog, Ejec=  ",AQ25),AQ25/AN25))</f>
        <v>0.99796472184531881</v>
      </c>
      <c r="BU25" s="631">
        <f>IF(AND(AP25=0,AR25=0),"No Prog ni Ejec",IF(AP25=0,CONCATENATE("No Prog, Ejec=  ",AR25),AR25/AP25))</f>
        <v>1.6806385186265786</v>
      </c>
      <c r="BV25" s="631">
        <f>IF(AND(AX25=0,BA25=0),"No Prog ni Ejec",IF(AX25=0,CONCATENATE("No Prog, Ejec=  ",BA25),BA25/AX25))</f>
        <v>0.77491408934707906</v>
      </c>
      <c r="BW25" s="631">
        <f>IF(AND(AZ25=0,BB25=0),"No Prog ni Ejec",IF(AZ25=0,CONCATENATE("No Prog, Ejec=  ",BB25),BB25/AZ25))</f>
        <v>1.4518824850173879</v>
      </c>
      <c r="BX25" s="631">
        <f>IF(AND(BH25=0,BK25=0),"No Prog ni Ejec",IF(BH25=0,CONCATENATE("No Prog, Ejec=  ",BK25),BK25/BH25))</f>
        <v>0.74003678724708766</v>
      </c>
      <c r="BY25" s="685">
        <f>IF(AND(BJ25=0,BL25=0),"No Prog ni Ejec",IF(BJ25=0,CONCATENATE("No Prog, Ejec=  ",BL25),BL25/BJ25))</f>
        <v>1.4518824850173879</v>
      </c>
      <c r="BZ25" s="148">
        <f t="shared" si="1"/>
        <v>0</v>
      </c>
    </row>
    <row r="26" spans="1:79" s="69" customFormat="1" ht="140.25" x14ac:dyDescent="0.2">
      <c r="A26" s="813">
        <v>11400</v>
      </c>
      <c r="B26" s="806" t="s">
        <v>12</v>
      </c>
      <c r="C26" s="806" t="s">
        <v>330</v>
      </c>
      <c r="D26" s="822" t="s">
        <v>1017</v>
      </c>
      <c r="E26" s="822" t="s">
        <v>1017</v>
      </c>
      <c r="F26" s="814" t="s">
        <v>65</v>
      </c>
      <c r="G26" s="806" t="s">
        <v>344</v>
      </c>
      <c r="H26" s="814" t="s">
        <v>66</v>
      </c>
      <c r="I26" s="806" t="s">
        <v>340</v>
      </c>
      <c r="J26" s="814" t="s">
        <v>1081</v>
      </c>
      <c r="K26" s="806" t="s">
        <v>400</v>
      </c>
      <c r="L26" s="817" t="s">
        <v>51</v>
      </c>
      <c r="M26" s="805">
        <v>1</v>
      </c>
      <c r="N26" s="814" t="s">
        <v>114</v>
      </c>
      <c r="O26" s="806" t="s">
        <v>356</v>
      </c>
      <c r="P26" s="810">
        <v>100435620</v>
      </c>
      <c r="Q26" s="811">
        <v>1</v>
      </c>
      <c r="R26" s="806" t="s">
        <v>17</v>
      </c>
      <c r="S26" s="806" t="s">
        <v>295</v>
      </c>
      <c r="T26" s="806" t="s">
        <v>629</v>
      </c>
      <c r="U26" s="806" t="s">
        <v>632</v>
      </c>
      <c r="V26" s="806" t="s">
        <v>75</v>
      </c>
      <c r="W26" s="806" t="s">
        <v>1266</v>
      </c>
      <c r="X26" s="806" t="s">
        <v>418</v>
      </c>
      <c r="Y26" s="806" t="s">
        <v>204</v>
      </c>
      <c r="Z26" s="811">
        <v>1</v>
      </c>
      <c r="AA26" s="806" t="str">
        <f t="shared" si="40"/>
        <v xml:space="preserve">Realizar el proceso de saneamiento de aportes patronales y el consecuente cierre de las cuentas bancarias de SGP, conforme al cronograma adoptado. </v>
      </c>
      <c r="AB26" s="812">
        <f t="shared" si="40"/>
        <v>100435620</v>
      </c>
      <c r="AC26" s="836" t="s">
        <v>46</v>
      </c>
      <c r="AD26" s="805">
        <v>0.25</v>
      </c>
      <c r="AE26" s="806" t="str">
        <f t="shared" ref="AE26:AE38" si="41">+AA26</f>
        <v xml:space="preserve">Realizar el proceso de saneamiento de aportes patronales y el consecuente cierre de las cuentas bancarias de SGP, conforme al cronograma adoptado. </v>
      </c>
      <c r="AF26" s="810">
        <f t="shared" ref="AF26:AF31" si="42">+AB26/4</f>
        <v>25108905</v>
      </c>
      <c r="AG26" s="811">
        <f>(2/2)*25%</f>
        <v>0.25</v>
      </c>
      <c r="AH26" s="484">
        <v>18971173</v>
      </c>
      <c r="AI26" s="807">
        <f t="shared" ref="AI26:AI38" si="43">+(AG26/AD26)</f>
        <v>1</v>
      </c>
      <c r="AJ26" s="807">
        <f t="shared" ref="AJ26:AJ38" si="44">+(AH26/AF26)</f>
        <v>0.75555556883105812</v>
      </c>
      <c r="AK26" s="807">
        <f t="shared" ref="AK26:AK38" si="45">+(AG26/Z26)</f>
        <v>0.25</v>
      </c>
      <c r="AL26" s="807">
        <f t="shared" ref="AL26:AL38" si="46">+(AH26/AB26)</f>
        <v>0.18888889220776453</v>
      </c>
      <c r="AM26" s="459" t="s">
        <v>1361</v>
      </c>
      <c r="AN26" s="805">
        <v>0.25</v>
      </c>
      <c r="AO26" s="806" t="str">
        <f t="shared" ref="AO26:AO38" si="47">+AA26</f>
        <v xml:space="preserve">Realizar el proceso de saneamiento de aportes patronales y el consecuente cierre de las cuentas bancarias de SGP, conforme al cronograma adoptado. </v>
      </c>
      <c r="AP26" s="810">
        <f t="shared" ref="AP26:AP31" si="48">+AB26/4</f>
        <v>25108905</v>
      </c>
      <c r="AQ26" s="827">
        <v>0.25</v>
      </c>
      <c r="AR26" s="484">
        <v>25108905</v>
      </c>
      <c r="AS26" s="807">
        <f t="shared" ref="AS26:AS38" si="49">+(AQ26/AN26)</f>
        <v>1</v>
      </c>
      <c r="AT26" s="807">
        <f t="shared" ref="AT26:AT38" si="50">+(AR26/AP26)</f>
        <v>1</v>
      </c>
      <c r="AU26" s="807">
        <f t="shared" ref="AU26:AU38" si="51">+(AQ26+AG26)/Z26</f>
        <v>0.5</v>
      </c>
      <c r="AV26" s="807">
        <f t="shared" ref="AV26:AV38" si="52">+(AR26+AH26)/AB26</f>
        <v>0.43888889220776456</v>
      </c>
      <c r="AW26" s="808" t="s">
        <v>1667</v>
      </c>
      <c r="AX26" s="805">
        <v>0.25</v>
      </c>
      <c r="AY26" s="806" t="str">
        <f t="shared" ref="AY26:AY38" si="53">+AA26</f>
        <v xml:space="preserve">Realizar el proceso de saneamiento de aportes patronales y el consecuente cierre de las cuentas bancarias de SGP, conforme al cronograma adoptado. </v>
      </c>
      <c r="AZ26" s="810">
        <f t="shared" ref="AZ26:AZ31" si="54">+AB26/4</f>
        <v>25108905</v>
      </c>
      <c r="BA26" s="939">
        <v>0.25</v>
      </c>
      <c r="BB26" s="942">
        <v>25108905</v>
      </c>
      <c r="BC26" s="807">
        <f t="shared" ref="BC26:BC38" si="55">+(BA26/AX26)</f>
        <v>1</v>
      </c>
      <c r="BD26" s="807">
        <f t="shared" ref="BD26:BD38" si="56">+(BB26/AZ26)</f>
        <v>1</v>
      </c>
      <c r="BE26" s="807">
        <f t="shared" ref="BE26:BE38" si="57">+(AQ26+AG26+BA26)/Z26</f>
        <v>0.75</v>
      </c>
      <c r="BF26" s="807">
        <f t="shared" ref="BF26:BF38" si="58">+(AR26+AH26+BB26)/AB26</f>
        <v>0.6888888922077645</v>
      </c>
      <c r="BG26" s="940" t="s">
        <v>1864</v>
      </c>
      <c r="BH26" s="805">
        <v>0.25</v>
      </c>
      <c r="BI26" s="806" t="str">
        <f t="shared" ref="BI26:BI38" si="59">+AA26</f>
        <v xml:space="preserve">Realizar el proceso de saneamiento de aportes patronales y el consecuente cierre de las cuentas bancarias de SGP, conforme al cronograma adoptado. </v>
      </c>
      <c r="BJ26" s="810">
        <f t="shared" ref="BJ26:BJ31" si="60">+AB26/4</f>
        <v>25108905</v>
      </c>
      <c r="BK26" s="1081">
        <v>0.25</v>
      </c>
      <c r="BL26" s="1082">
        <v>25108905</v>
      </c>
      <c r="BM26" s="805">
        <f t="shared" ref="BM26:BM38" si="61">+(BK26/BH26)</f>
        <v>1</v>
      </c>
      <c r="BN26" s="805">
        <f t="shared" ref="BN26:BN38" si="62">+(BL26/BJ26)</f>
        <v>1</v>
      </c>
      <c r="BO26" s="805">
        <f t="shared" ref="BO26:BO38" si="63">+(AQ26+AG26+BA26+BK26)/Z26</f>
        <v>1</v>
      </c>
      <c r="BP26" s="805">
        <f t="shared" ref="BP26:BP38" si="64">+(AR26+AH26+BB26+BL26)/AB26</f>
        <v>0.9388888922077645</v>
      </c>
      <c r="BQ26" s="1069" t="s">
        <v>1994</v>
      </c>
      <c r="BR26" s="631">
        <f t="shared" ref="BR26:BR38" si="65">IF(AND(AD26=0,AG26=0),"No Prog ni Ejec",IF(AD26=0,CONCATENATE("No Prog, Ejec=  ",AG26),AG26/AD26))</f>
        <v>1</v>
      </c>
      <c r="BS26" s="631">
        <f t="shared" ref="BS26:BS38" si="66">IF(AND(AF26=0,AH26=0),"No Prog ni Ejec",IF(AF26=0,CONCATENATE("No Prog, Ejec=  ",AH26),AH26/AF26))</f>
        <v>0.75555556883105812</v>
      </c>
      <c r="BT26" s="631">
        <f t="shared" ref="BT26:BT38" si="67">IF(AND(AN26=0,AQ26=0),"No Prog ni Ejec",IF(AN26=0,CONCATENATE("No Prog, Ejec=  ",AQ26),AQ26/AN26))</f>
        <v>1</v>
      </c>
      <c r="BU26" s="631">
        <f t="shared" ref="BU26:BU38" si="68">IF(AND(AP26=0,AR26=0),"No Prog ni Ejec",IF(AP26=0,CONCATENATE("No Prog, Ejec=  ",AR26),AR26/AP26))</f>
        <v>1</v>
      </c>
      <c r="BV26" s="631">
        <f t="shared" ref="BV26:BV38" si="69">IF(AND(AX26=0,BA26=0),"No Prog ni Ejec",IF(AX26=0,CONCATENATE("No Prog, Ejec=  ",BA26),BA26/AX26))</f>
        <v>1</v>
      </c>
      <c r="BW26" s="631">
        <f t="shared" ref="BW26:BW38" si="70">IF(AND(AZ26=0,BB26=0),"No Prog ni Ejec",IF(AZ26=0,CONCATENATE("No Prog, Ejec=  ",BB26),BB26/AZ26))</f>
        <v>1</v>
      </c>
      <c r="BX26" s="631">
        <f t="shared" ref="BX26:BX38" si="71">IF(AND(BH26=0,BK26=0),"No Prog ni Ejec",IF(BH26=0,CONCATENATE("No Prog, Ejec=  ",BK26),BK26/BH26))</f>
        <v>1</v>
      </c>
      <c r="BY26" s="685">
        <f t="shared" ref="BY26:BY38" si="72">IF(AND(BJ26=0,BL26=0),"No Prog ni Ejec",IF(BJ26=0,CONCATENATE("No Prog, Ejec=  ",BL26),BL26/BJ26))</f>
        <v>1</v>
      </c>
      <c r="BZ26" s="148">
        <f t="shared" si="1"/>
        <v>0</v>
      </c>
    </row>
    <row r="27" spans="1:79" s="69" customFormat="1" ht="276" customHeight="1" x14ac:dyDescent="0.2">
      <c r="A27" s="813">
        <v>11400</v>
      </c>
      <c r="B27" s="806" t="s">
        <v>12</v>
      </c>
      <c r="C27" s="806" t="s">
        <v>330</v>
      </c>
      <c r="D27" s="822" t="s">
        <v>1017</v>
      </c>
      <c r="E27" s="822" t="s">
        <v>1017</v>
      </c>
      <c r="F27" s="814" t="s">
        <v>65</v>
      </c>
      <c r="G27" s="806" t="s">
        <v>344</v>
      </c>
      <c r="H27" s="814" t="s">
        <v>66</v>
      </c>
      <c r="I27" s="806" t="s">
        <v>340</v>
      </c>
      <c r="J27" s="814" t="s">
        <v>962</v>
      </c>
      <c r="K27" s="806" t="s">
        <v>432</v>
      </c>
      <c r="L27" s="817" t="s">
        <v>390</v>
      </c>
      <c r="M27" s="66">
        <v>4</v>
      </c>
      <c r="N27" s="814" t="s">
        <v>970</v>
      </c>
      <c r="O27" s="996" t="s">
        <v>1944</v>
      </c>
      <c r="P27" s="810">
        <v>233474760</v>
      </c>
      <c r="Q27" s="811">
        <v>1</v>
      </c>
      <c r="R27" s="806" t="s">
        <v>17</v>
      </c>
      <c r="S27" s="806" t="s">
        <v>295</v>
      </c>
      <c r="T27" s="806" t="s">
        <v>629</v>
      </c>
      <c r="U27" s="806" t="s">
        <v>632</v>
      </c>
      <c r="V27" s="806" t="s">
        <v>1038</v>
      </c>
      <c r="W27" s="806" t="s">
        <v>1267</v>
      </c>
      <c r="X27" s="806" t="s">
        <v>399</v>
      </c>
      <c r="Y27" s="806" t="s">
        <v>204</v>
      </c>
      <c r="Z27" s="67">
        <v>4</v>
      </c>
      <c r="AA27" s="806" t="str">
        <f t="shared" si="40"/>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B27" s="812">
        <f t="shared" si="40"/>
        <v>233474760</v>
      </c>
      <c r="AC27" s="836" t="s">
        <v>46</v>
      </c>
      <c r="AD27" s="66">
        <v>0</v>
      </c>
      <c r="AE27" s="806" t="str">
        <f t="shared" si="41"/>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F27" s="810">
        <f t="shared" si="42"/>
        <v>58368690</v>
      </c>
      <c r="AG27" s="814">
        <v>0</v>
      </c>
      <c r="AH27" s="810">
        <v>0</v>
      </c>
      <c r="AI27" s="807" t="e">
        <f>+(AG27/AD27)</f>
        <v>#DIV/0!</v>
      </c>
      <c r="AJ27" s="807">
        <f>+(AH27/AF27)</f>
        <v>0</v>
      </c>
      <c r="AK27" s="807">
        <f>+(AG27/Z27)</f>
        <v>0</v>
      </c>
      <c r="AL27" s="807">
        <f>+(AH27/AB27)</f>
        <v>0</v>
      </c>
      <c r="AM27" s="459" t="s">
        <v>1362</v>
      </c>
      <c r="AN27" s="66">
        <v>0</v>
      </c>
      <c r="AO27" s="806" t="str">
        <f t="shared" si="47"/>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P27" s="810">
        <f t="shared" si="48"/>
        <v>58368690</v>
      </c>
      <c r="AQ27" s="817">
        <v>0</v>
      </c>
      <c r="AR27" s="484">
        <v>39698687</v>
      </c>
      <c r="AS27" s="807" t="e">
        <f t="shared" si="49"/>
        <v>#DIV/0!</v>
      </c>
      <c r="AT27" s="807">
        <f t="shared" si="50"/>
        <v>0.68013667944235168</v>
      </c>
      <c r="AU27" s="807">
        <f t="shared" si="51"/>
        <v>0</v>
      </c>
      <c r="AV27" s="807">
        <f t="shared" si="52"/>
        <v>0.17003416986058792</v>
      </c>
      <c r="AW27" s="808" t="s">
        <v>1668</v>
      </c>
      <c r="AX27" s="66">
        <v>0</v>
      </c>
      <c r="AY27" s="806" t="str">
        <f t="shared" si="53"/>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AZ27" s="810">
        <f t="shared" si="54"/>
        <v>58368690</v>
      </c>
      <c r="BA27" s="66">
        <v>0</v>
      </c>
      <c r="BB27" s="942">
        <v>58736538</v>
      </c>
      <c r="BC27" s="807" t="e">
        <f t="shared" si="55"/>
        <v>#DIV/0!</v>
      </c>
      <c r="BD27" s="807">
        <f t="shared" si="56"/>
        <v>1.006302145893629</v>
      </c>
      <c r="BE27" s="807">
        <f t="shared" si="57"/>
        <v>0</v>
      </c>
      <c r="BF27" s="807">
        <f t="shared" si="58"/>
        <v>0.42160970633399514</v>
      </c>
      <c r="BG27" s="940" t="s">
        <v>1865</v>
      </c>
      <c r="BH27" s="66">
        <v>4</v>
      </c>
      <c r="BI27" s="806" t="str">
        <f t="shared" si="59"/>
        <v>Optimizar 4 procesos mediante la realización de desarrollos o ajustes tecnológicos (Primera etapa del aplicativo de Reintegro de recursos; validador de prestaciones económicas; consulta de devolución de aportes; liquidación y reconocimiento de prestaciones económicas de los afiliados a los regímenes exceptuados y especiales con ingresos adicionales y elaboración del proyecto de modificación del Decreto 780 de 2016 respecto a la administración de cuentas maestras del recaudo de cotizaciones).</v>
      </c>
      <c r="BJ27" s="810">
        <f t="shared" si="60"/>
        <v>58368690</v>
      </c>
      <c r="BK27" s="1083">
        <v>4</v>
      </c>
      <c r="BL27" s="1082">
        <v>57843473</v>
      </c>
      <c r="BM27" s="805">
        <f t="shared" si="61"/>
        <v>1</v>
      </c>
      <c r="BN27" s="805">
        <f t="shared" si="62"/>
        <v>0.99100173397758284</v>
      </c>
      <c r="BO27" s="805">
        <f t="shared" si="63"/>
        <v>1</v>
      </c>
      <c r="BP27" s="805">
        <f t="shared" si="64"/>
        <v>0.66936013982839082</v>
      </c>
      <c r="BQ27" s="682" t="s">
        <v>1995</v>
      </c>
      <c r="BR27" s="631" t="str">
        <f t="shared" si="65"/>
        <v>No Prog ni Ejec</v>
      </c>
      <c r="BS27" s="631">
        <f t="shared" si="66"/>
        <v>0</v>
      </c>
      <c r="BT27" s="631" t="str">
        <f t="shared" si="67"/>
        <v>No Prog ni Ejec</v>
      </c>
      <c r="BU27" s="631">
        <f t="shared" si="68"/>
        <v>0.68013667944235168</v>
      </c>
      <c r="BV27" s="631" t="str">
        <f t="shared" si="69"/>
        <v>No Prog ni Ejec</v>
      </c>
      <c r="BW27" s="631">
        <f t="shared" si="70"/>
        <v>1.006302145893629</v>
      </c>
      <c r="BX27" s="631">
        <f t="shared" si="71"/>
        <v>1</v>
      </c>
      <c r="BY27" s="685">
        <f t="shared" si="72"/>
        <v>0.99100173397758284</v>
      </c>
      <c r="BZ27" s="148">
        <f t="shared" si="1"/>
        <v>0</v>
      </c>
    </row>
    <row r="28" spans="1:79" s="69" customFormat="1" ht="267.75" x14ac:dyDescent="0.2">
      <c r="A28" s="813">
        <v>11400</v>
      </c>
      <c r="B28" s="806" t="s">
        <v>12</v>
      </c>
      <c r="C28" s="806" t="s">
        <v>330</v>
      </c>
      <c r="D28" s="822" t="s">
        <v>1017</v>
      </c>
      <c r="E28" s="822" t="s">
        <v>1017</v>
      </c>
      <c r="F28" s="814" t="s">
        <v>65</v>
      </c>
      <c r="G28" s="806" t="s">
        <v>344</v>
      </c>
      <c r="H28" s="814" t="s">
        <v>66</v>
      </c>
      <c r="I28" s="806" t="s">
        <v>340</v>
      </c>
      <c r="J28" s="814" t="s">
        <v>963</v>
      </c>
      <c r="K28" s="806" t="s">
        <v>401</v>
      </c>
      <c r="L28" s="817" t="s">
        <v>51</v>
      </c>
      <c r="M28" s="805">
        <v>1</v>
      </c>
      <c r="N28" s="814" t="s">
        <v>971</v>
      </c>
      <c r="O28" s="806" t="s">
        <v>358</v>
      </c>
      <c r="P28" s="826">
        <v>80376316.800000012</v>
      </c>
      <c r="Q28" s="811">
        <v>1</v>
      </c>
      <c r="R28" s="806" t="s">
        <v>17</v>
      </c>
      <c r="S28" s="806" t="s">
        <v>295</v>
      </c>
      <c r="T28" s="806" t="s">
        <v>629</v>
      </c>
      <c r="U28" s="806" t="s">
        <v>632</v>
      </c>
      <c r="V28" s="806" t="s">
        <v>75</v>
      </c>
      <c r="W28" s="806" t="s">
        <v>1255</v>
      </c>
      <c r="X28" s="806" t="s">
        <v>419</v>
      </c>
      <c r="Y28" s="806" t="s">
        <v>204</v>
      </c>
      <c r="Z28" s="811">
        <v>1</v>
      </c>
      <c r="AA28" s="806" t="str">
        <f t="shared" si="40"/>
        <v xml:space="preserve">Verificar los actuales controles de los procesos de liquidación y reconocimiento de UPC y de prestaciones económicas, considerando las características de los afiliados (edad, género, ubicación geográfica, capacidad de pago, novedades). </v>
      </c>
      <c r="AB28" s="812">
        <f t="shared" si="40"/>
        <v>80376316.800000012</v>
      </c>
      <c r="AC28" s="817" t="s">
        <v>46</v>
      </c>
      <c r="AD28" s="805">
        <v>0.25</v>
      </c>
      <c r="AE28" s="806"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F28" s="810">
        <f t="shared" si="42"/>
        <v>20094079.200000003</v>
      </c>
      <c r="AG28" s="811">
        <f>(1/1)*25%</f>
        <v>0.25</v>
      </c>
      <c r="AH28" s="484">
        <v>10787362</v>
      </c>
      <c r="AI28" s="807">
        <f t="shared" si="43"/>
        <v>1</v>
      </c>
      <c r="AJ28" s="807">
        <f t="shared" si="44"/>
        <v>0.53684281288191593</v>
      </c>
      <c r="AK28" s="807">
        <f t="shared" si="45"/>
        <v>0.25</v>
      </c>
      <c r="AL28" s="807">
        <f t="shared" si="46"/>
        <v>0.13421070322047898</v>
      </c>
      <c r="AM28" s="459" t="s">
        <v>1363</v>
      </c>
      <c r="AN28" s="805">
        <v>0.25</v>
      </c>
      <c r="AO28" s="806" t="str">
        <f t="shared" si="47"/>
        <v xml:space="preserve">Verificar los actuales controles de los procesos de liquidación y reconocimiento de UPC y de prestaciones económicas, considerando las características de los afiliados (edad, género, ubicación geográfica, capacidad de pago, novedades). </v>
      </c>
      <c r="AP28" s="810">
        <f t="shared" si="48"/>
        <v>20094079.200000003</v>
      </c>
      <c r="AQ28" s="488">
        <v>0.25</v>
      </c>
      <c r="AR28" s="484">
        <v>15410517</v>
      </c>
      <c r="AS28" s="807">
        <f t="shared" si="49"/>
        <v>1</v>
      </c>
      <c r="AT28" s="807">
        <f t="shared" si="50"/>
        <v>0.76691829700760794</v>
      </c>
      <c r="AU28" s="807">
        <f t="shared" si="51"/>
        <v>0.5</v>
      </c>
      <c r="AV28" s="807">
        <f t="shared" si="52"/>
        <v>0.32594027747238097</v>
      </c>
      <c r="AW28" s="808" t="s">
        <v>1669</v>
      </c>
      <c r="AX28" s="805">
        <v>0.25</v>
      </c>
      <c r="AY28" s="806" t="str">
        <f t="shared" si="53"/>
        <v xml:space="preserve">Verificar los actuales controles de los procesos de liquidación y reconocimiento de UPC y de prestaciones económicas, considerando las características de los afiliados (edad, género, ubicación geográfica, capacidad de pago, novedades). </v>
      </c>
      <c r="AZ28" s="810">
        <f t="shared" si="54"/>
        <v>20094079.200000003</v>
      </c>
      <c r="BA28" s="939">
        <v>0.25</v>
      </c>
      <c r="BB28" s="942">
        <v>15410517</v>
      </c>
      <c r="BC28" s="807">
        <f t="shared" si="55"/>
        <v>1</v>
      </c>
      <c r="BD28" s="807">
        <f t="shared" si="56"/>
        <v>0.76691829700760794</v>
      </c>
      <c r="BE28" s="807">
        <f t="shared" si="57"/>
        <v>0.75</v>
      </c>
      <c r="BF28" s="807">
        <f t="shared" si="58"/>
        <v>0.51766985172428293</v>
      </c>
      <c r="BG28" s="940" t="s">
        <v>1866</v>
      </c>
      <c r="BH28" s="805">
        <v>0.25</v>
      </c>
      <c r="BI28" s="806" t="str">
        <f t="shared" si="59"/>
        <v xml:space="preserve">Verificar los actuales controles de los procesos de liquidación y reconocimiento de UPC y de prestaciones económicas, considerando las características de los afiliados (edad, género, ubicación geográfica, capacidad de pago, novedades). </v>
      </c>
      <c r="BJ28" s="810">
        <f t="shared" si="60"/>
        <v>20094079.200000003</v>
      </c>
      <c r="BK28" s="1081">
        <f>(4/4)*25%</f>
        <v>0.25</v>
      </c>
      <c r="BL28" s="1082">
        <v>15410517</v>
      </c>
      <c r="BM28" s="805">
        <f t="shared" si="61"/>
        <v>1</v>
      </c>
      <c r="BN28" s="805">
        <f t="shared" si="62"/>
        <v>0.76691829700760794</v>
      </c>
      <c r="BO28" s="805">
        <f t="shared" si="63"/>
        <v>1</v>
      </c>
      <c r="BP28" s="805">
        <f t="shared" si="64"/>
        <v>0.70939942597618499</v>
      </c>
      <c r="BQ28" s="1069" t="s">
        <v>1996</v>
      </c>
      <c r="BR28" s="631">
        <f t="shared" si="65"/>
        <v>1</v>
      </c>
      <c r="BS28" s="631">
        <f t="shared" si="66"/>
        <v>0.53684281288191593</v>
      </c>
      <c r="BT28" s="631">
        <f t="shared" si="67"/>
        <v>1</v>
      </c>
      <c r="BU28" s="631">
        <f t="shared" si="68"/>
        <v>0.76691829700760794</v>
      </c>
      <c r="BV28" s="631">
        <f t="shared" si="69"/>
        <v>1</v>
      </c>
      <c r="BW28" s="631">
        <f t="shared" si="70"/>
        <v>0.76691829700760794</v>
      </c>
      <c r="BX28" s="631">
        <f t="shared" si="71"/>
        <v>1</v>
      </c>
      <c r="BY28" s="685">
        <f t="shared" si="72"/>
        <v>0.76691829700760794</v>
      </c>
      <c r="BZ28" s="148">
        <f t="shared" si="1"/>
        <v>0</v>
      </c>
    </row>
    <row r="29" spans="1:79" s="69" customFormat="1" ht="127.5" x14ac:dyDescent="0.2">
      <c r="A29" s="813">
        <v>11400</v>
      </c>
      <c r="B29" s="806" t="s">
        <v>12</v>
      </c>
      <c r="C29" s="806" t="s">
        <v>330</v>
      </c>
      <c r="D29" s="822" t="s">
        <v>1017</v>
      </c>
      <c r="E29" s="822" t="s">
        <v>1017</v>
      </c>
      <c r="F29" s="814" t="s">
        <v>65</v>
      </c>
      <c r="G29" s="806" t="s">
        <v>344</v>
      </c>
      <c r="H29" s="814" t="s">
        <v>66</v>
      </c>
      <c r="I29" s="806" t="s">
        <v>340</v>
      </c>
      <c r="J29" s="814" t="s">
        <v>964</v>
      </c>
      <c r="K29" s="806" t="s">
        <v>387</v>
      </c>
      <c r="L29" s="817" t="s">
        <v>51</v>
      </c>
      <c r="M29" s="805">
        <v>1</v>
      </c>
      <c r="N29" s="814" t="s">
        <v>972</v>
      </c>
      <c r="O29" s="806" t="s">
        <v>359</v>
      </c>
      <c r="P29" s="826">
        <v>172244136</v>
      </c>
      <c r="Q29" s="811">
        <v>1</v>
      </c>
      <c r="R29" s="806" t="s">
        <v>17</v>
      </c>
      <c r="S29" s="806" t="s">
        <v>295</v>
      </c>
      <c r="T29" s="806" t="s">
        <v>629</v>
      </c>
      <c r="U29" s="806" t="s">
        <v>632</v>
      </c>
      <c r="V29" s="806" t="s">
        <v>75</v>
      </c>
      <c r="W29" s="806" t="s">
        <v>1256</v>
      </c>
      <c r="X29" s="806" t="s">
        <v>420</v>
      </c>
      <c r="Y29" s="806" t="s">
        <v>204</v>
      </c>
      <c r="Z29" s="811">
        <v>1</v>
      </c>
      <c r="AA29" s="806" t="str">
        <f t="shared" si="40"/>
        <v>Ejecutar los procesos de compensación conforme al cronograma adoptado</v>
      </c>
      <c r="AB29" s="812">
        <f t="shared" si="40"/>
        <v>172244136</v>
      </c>
      <c r="AC29" s="836" t="s">
        <v>46</v>
      </c>
      <c r="AD29" s="805">
        <v>0.25</v>
      </c>
      <c r="AE29" s="806" t="str">
        <f t="shared" si="41"/>
        <v>Ejecutar los procesos de compensación conforme al cronograma adoptado</v>
      </c>
      <c r="AF29" s="810">
        <f t="shared" si="42"/>
        <v>43061034</v>
      </c>
      <c r="AG29" s="811">
        <f>(12/12)*25%</f>
        <v>0.25</v>
      </c>
      <c r="AH29" s="484">
        <v>20448274</v>
      </c>
      <c r="AI29" s="807">
        <f t="shared" si="43"/>
        <v>1</v>
      </c>
      <c r="AJ29" s="807">
        <f t="shared" si="44"/>
        <v>0.47486723147428367</v>
      </c>
      <c r="AK29" s="807">
        <f t="shared" si="45"/>
        <v>0.25</v>
      </c>
      <c r="AL29" s="807">
        <f t="shared" si="46"/>
        <v>0.11871680786857092</v>
      </c>
      <c r="AM29" s="459" t="s">
        <v>1364</v>
      </c>
      <c r="AN29" s="805">
        <v>0.25</v>
      </c>
      <c r="AO29" s="806" t="str">
        <f t="shared" si="47"/>
        <v>Ejecutar los procesos de compensación conforme al cronograma adoptado</v>
      </c>
      <c r="AP29" s="810">
        <f t="shared" si="48"/>
        <v>43061034</v>
      </c>
      <c r="AQ29" s="827">
        <v>0.25</v>
      </c>
      <c r="AR29" s="619">
        <v>27650517</v>
      </c>
      <c r="AS29" s="807">
        <f t="shared" si="49"/>
        <v>1</v>
      </c>
      <c r="AT29" s="807">
        <f t="shared" si="50"/>
        <v>0.64212385146162543</v>
      </c>
      <c r="AU29" s="807">
        <f t="shared" si="51"/>
        <v>0.5</v>
      </c>
      <c r="AV29" s="807">
        <f t="shared" si="52"/>
        <v>0.27924777073397727</v>
      </c>
      <c r="AW29" s="808" t="s">
        <v>1724</v>
      </c>
      <c r="AX29" s="805">
        <v>0.25</v>
      </c>
      <c r="AY29" s="806" t="str">
        <f t="shared" si="53"/>
        <v>Ejecutar los procesos de compensación conforme al cronograma adoptado</v>
      </c>
      <c r="AZ29" s="810">
        <f t="shared" si="54"/>
        <v>43061034</v>
      </c>
      <c r="BA29" s="939">
        <f>(12/12)*25%</f>
        <v>0.25</v>
      </c>
      <c r="BB29" s="942">
        <v>27650517</v>
      </c>
      <c r="BC29" s="807">
        <f t="shared" si="55"/>
        <v>1</v>
      </c>
      <c r="BD29" s="807">
        <f t="shared" si="56"/>
        <v>0.64212385146162543</v>
      </c>
      <c r="BE29" s="807">
        <f t="shared" si="57"/>
        <v>0.75</v>
      </c>
      <c r="BF29" s="807">
        <f t="shared" si="58"/>
        <v>0.43977873359938363</v>
      </c>
      <c r="BG29" s="940" t="s">
        <v>1867</v>
      </c>
      <c r="BH29" s="805">
        <v>0.25</v>
      </c>
      <c r="BI29" s="806" t="str">
        <f t="shared" si="59"/>
        <v>Ejecutar los procesos de compensación conforme al cronograma adoptado</v>
      </c>
      <c r="BJ29" s="810">
        <f t="shared" si="60"/>
        <v>43061034</v>
      </c>
      <c r="BK29" s="1081">
        <f>(12/12)*25%</f>
        <v>0.25</v>
      </c>
      <c r="BL29" s="1082">
        <v>27650517</v>
      </c>
      <c r="BM29" s="805">
        <f t="shared" si="61"/>
        <v>1</v>
      </c>
      <c r="BN29" s="805">
        <f t="shared" si="62"/>
        <v>0.64212385146162543</v>
      </c>
      <c r="BO29" s="805">
        <f t="shared" si="63"/>
        <v>1</v>
      </c>
      <c r="BP29" s="805">
        <f t="shared" si="64"/>
        <v>0.60030969646478993</v>
      </c>
      <c r="BQ29" s="1069" t="s">
        <v>1997</v>
      </c>
      <c r="BR29" s="631">
        <f t="shared" si="65"/>
        <v>1</v>
      </c>
      <c r="BS29" s="631">
        <f t="shared" si="66"/>
        <v>0.47486723147428367</v>
      </c>
      <c r="BT29" s="631">
        <f t="shared" si="67"/>
        <v>1</v>
      </c>
      <c r="BU29" s="631">
        <f t="shared" si="68"/>
        <v>0.64212385146162543</v>
      </c>
      <c r="BV29" s="631">
        <f t="shared" si="69"/>
        <v>1</v>
      </c>
      <c r="BW29" s="631">
        <f t="shared" si="70"/>
        <v>0.64212385146162543</v>
      </c>
      <c r="BX29" s="631">
        <f t="shared" si="71"/>
        <v>1</v>
      </c>
      <c r="BY29" s="685">
        <f t="shared" si="72"/>
        <v>0.64212385146162543</v>
      </c>
      <c r="BZ29" s="148">
        <f t="shared" si="1"/>
        <v>0</v>
      </c>
    </row>
    <row r="30" spans="1:79" s="69" customFormat="1" ht="140.25" x14ac:dyDescent="0.2">
      <c r="A30" s="813">
        <v>11400</v>
      </c>
      <c r="B30" s="806" t="s">
        <v>12</v>
      </c>
      <c r="C30" s="806" t="s">
        <v>330</v>
      </c>
      <c r="D30" s="822" t="s">
        <v>1017</v>
      </c>
      <c r="E30" s="822" t="s">
        <v>1017</v>
      </c>
      <c r="F30" s="814" t="s">
        <v>65</v>
      </c>
      <c r="G30" s="806" t="s">
        <v>344</v>
      </c>
      <c r="H30" s="814" t="s">
        <v>66</v>
      </c>
      <c r="I30" s="806" t="s">
        <v>340</v>
      </c>
      <c r="J30" s="814" t="s">
        <v>965</v>
      </c>
      <c r="K30" s="806" t="s">
        <v>70</v>
      </c>
      <c r="L30" s="817" t="s">
        <v>51</v>
      </c>
      <c r="M30" s="805">
        <v>1</v>
      </c>
      <c r="N30" s="814" t="s">
        <v>973</v>
      </c>
      <c r="O30" s="806" t="s">
        <v>360</v>
      </c>
      <c r="P30" s="826">
        <f>123284136/2</f>
        <v>61642068</v>
      </c>
      <c r="Q30" s="811">
        <v>1</v>
      </c>
      <c r="R30" s="806" t="s">
        <v>17</v>
      </c>
      <c r="S30" s="806" t="s">
        <v>295</v>
      </c>
      <c r="T30" s="806" t="s">
        <v>629</v>
      </c>
      <c r="U30" s="806" t="s">
        <v>632</v>
      </c>
      <c r="V30" s="806" t="s">
        <v>1047</v>
      </c>
      <c r="W30" s="806" t="s">
        <v>1254</v>
      </c>
      <c r="X30" s="806" t="s">
        <v>421</v>
      </c>
      <c r="Y30" s="806" t="s">
        <v>204</v>
      </c>
      <c r="Z30" s="811">
        <v>1</v>
      </c>
      <c r="AA30" s="806" t="str">
        <f t="shared" si="40"/>
        <v xml:space="preserve">Tramitar oportunamente las solicitudes de prestaciones económicas radicadas por afiliados a los regímenes exceptuados y especiales con ingresos adicionales. </v>
      </c>
      <c r="AB30" s="812">
        <f t="shared" si="40"/>
        <v>61642068</v>
      </c>
      <c r="AC30" s="836" t="s">
        <v>46</v>
      </c>
      <c r="AD30" s="805">
        <v>0.25</v>
      </c>
      <c r="AE30" s="806" t="str">
        <f t="shared" si="41"/>
        <v xml:space="preserve">Tramitar oportunamente las solicitudes de prestaciones económicas radicadas por afiliados a los regímenes exceptuados y especiales con ingresos adicionales. </v>
      </c>
      <c r="AF30" s="810">
        <f t="shared" si="42"/>
        <v>15410517</v>
      </c>
      <c r="AG30" s="811">
        <f>(720/723)*25%</f>
        <v>0.24896265560165975</v>
      </c>
      <c r="AH30" s="484">
        <v>10444906</v>
      </c>
      <c r="AI30" s="807">
        <f>+(AG30/AD30)</f>
        <v>0.99585062240663902</v>
      </c>
      <c r="AJ30" s="807">
        <f t="shared" si="44"/>
        <v>0.67777777994080279</v>
      </c>
      <c r="AK30" s="807">
        <f t="shared" si="45"/>
        <v>0.24896265560165975</v>
      </c>
      <c r="AL30" s="807">
        <f t="shared" si="46"/>
        <v>0.1694444449852007</v>
      </c>
      <c r="AM30" s="459" t="s">
        <v>1365</v>
      </c>
      <c r="AN30" s="805">
        <v>0.25</v>
      </c>
      <c r="AO30" s="806" t="str">
        <f t="shared" si="47"/>
        <v xml:space="preserve">Tramitar oportunamente las solicitudes de prestaciones económicas radicadas por afiliados a los regímenes exceptuados y especiales con ingresos adicionales. </v>
      </c>
      <c r="AP30" s="810">
        <f t="shared" si="48"/>
        <v>15410517</v>
      </c>
      <c r="AQ30" s="804">
        <f>(841/848)*25%</f>
        <v>0.24793632075471697</v>
      </c>
      <c r="AR30" s="484">
        <v>15410517</v>
      </c>
      <c r="AS30" s="807">
        <f t="shared" si="49"/>
        <v>0.99174528301886788</v>
      </c>
      <c r="AT30" s="807">
        <f t="shared" si="50"/>
        <v>1</v>
      </c>
      <c r="AU30" s="807">
        <f t="shared" si="51"/>
        <v>0.4968989763563767</v>
      </c>
      <c r="AV30" s="807">
        <f t="shared" si="52"/>
        <v>0.41944444498520067</v>
      </c>
      <c r="AW30" s="808" t="s">
        <v>1670</v>
      </c>
      <c r="AX30" s="805">
        <v>0.25</v>
      </c>
      <c r="AY30" s="806" t="str">
        <f t="shared" si="53"/>
        <v xml:space="preserve">Tramitar oportunamente las solicitudes de prestaciones económicas radicadas por afiliados a los regímenes exceptuados y especiales con ingresos adicionales. </v>
      </c>
      <c r="AZ30" s="810">
        <f t="shared" si="54"/>
        <v>15410517</v>
      </c>
      <c r="BA30" s="156">
        <f>+(850/852)*AX30</f>
        <v>0.24941314553990609</v>
      </c>
      <c r="BB30" s="942">
        <v>15410517</v>
      </c>
      <c r="BC30" s="792">
        <f t="shared" si="55"/>
        <v>0.99765258215962438</v>
      </c>
      <c r="BD30" s="807">
        <f t="shared" si="56"/>
        <v>1</v>
      </c>
      <c r="BE30" s="807">
        <f t="shared" si="57"/>
        <v>0.74631212189628282</v>
      </c>
      <c r="BF30" s="807">
        <f t="shared" si="58"/>
        <v>0.66944444498520073</v>
      </c>
      <c r="BG30" s="940" t="s">
        <v>1868</v>
      </c>
      <c r="BH30" s="805">
        <v>0.25</v>
      </c>
      <c r="BI30" s="806" t="str">
        <f t="shared" si="59"/>
        <v xml:space="preserve">Tramitar oportunamente las solicitudes de prestaciones económicas radicadas por afiliados a los regímenes exceptuados y especiales con ingresos adicionales. </v>
      </c>
      <c r="BJ30" s="810">
        <f t="shared" si="60"/>
        <v>15410517</v>
      </c>
      <c r="BK30" s="1081">
        <f>(847/879)*25%</f>
        <v>0.24089874857792948</v>
      </c>
      <c r="BL30" s="1082">
        <v>15410517</v>
      </c>
      <c r="BM30" s="805">
        <f t="shared" si="61"/>
        <v>0.96359499431171791</v>
      </c>
      <c r="BN30" s="805">
        <f t="shared" si="62"/>
        <v>1</v>
      </c>
      <c r="BO30" s="805">
        <f t="shared" si="63"/>
        <v>0.9872108704742123</v>
      </c>
      <c r="BP30" s="805">
        <f t="shared" si="64"/>
        <v>0.91944444498520073</v>
      </c>
      <c r="BQ30" s="1069" t="s">
        <v>2002</v>
      </c>
      <c r="BR30" s="631">
        <f t="shared" si="65"/>
        <v>0.99585062240663902</v>
      </c>
      <c r="BS30" s="631">
        <f t="shared" si="66"/>
        <v>0.67777777994080279</v>
      </c>
      <c r="BT30" s="631">
        <f t="shared" si="67"/>
        <v>0.99174528301886788</v>
      </c>
      <c r="BU30" s="631">
        <f t="shared" si="68"/>
        <v>1</v>
      </c>
      <c r="BV30" s="631">
        <f t="shared" si="69"/>
        <v>0.99765258215962438</v>
      </c>
      <c r="BW30" s="631">
        <f t="shared" si="70"/>
        <v>1</v>
      </c>
      <c r="BX30" s="631">
        <f t="shared" si="71"/>
        <v>0.96359499431171791</v>
      </c>
      <c r="BY30" s="685">
        <f t="shared" si="72"/>
        <v>1</v>
      </c>
      <c r="BZ30" s="148">
        <f t="shared" si="1"/>
        <v>0</v>
      </c>
    </row>
    <row r="31" spans="1:79" s="69" customFormat="1" ht="121.5" customHeight="1" x14ac:dyDescent="0.2">
      <c r="A31" s="813">
        <v>11400</v>
      </c>
      <c r="B31" s="806" t="s">
        <v>12</v>
      </c>
      <c r="C31" s="806" t="s">
        <v>330</v>
      </c>
      <c r="D31" s="822" t="s">
        <v>1017</v>
      </c>
      <c r="E31" s="822"/>
      <c r="F31" s="814" t="s">
        <v>65</v>
      </c>
      <c r="G31" s="806" t="s">
        <v>344</v>
      </c>
      <c r="H31" s="814" t="s">
        <v>66</v>
      </c>
      <c r="I31" s="806" t="s">
        <v>340</v>
      </c>
      <c r="J31" s="814" t="s">
        <v>966</v>
      </c>
      <c r="K31" s="806" t="s">
        <v>397</v>
      </c>
      <c r="L31" s="817" t="s">
        <v>51</v>
      </c>
      <c r="M31" s="805">
        <v>1</v>
      </c>
      <c r="N31" s="814" t="s">
        <v>974</v>
      </c>
      <c r="O31" s="806" t="s">
        <v>361</v>
      </c>
      <c r="P31" s="826">
        <f>123284136/2</f>
        <v>61642068</v>
      </c>
      <c r="Q31" s="811">
        <v>1</v>
      </c>
      <c r="R31" s="806" t="s">
        <v>17</v>
      </c>
      <c r="S31" s="806" t="s">
        <v>295</v>
      </c>
      <c r="T31" s="806" t="s">
        <v>629</v>
      </c>
      <c r="U31" s="806" t="s">
        <v>632</v>
      </c>
      <c r="V31" s="806" t="s">
        <v>1047</v>
      </c>
      <c r="W31" s="806" t="s">
        <v>1254</v>
      </c>
      <c r="X31" s="806" t="s">
        <v>398</v>
      </c>
      <c r="Y31" s="806" t="s">
        <v>204</v>
      </c>
      <c r="Z31" s="811">
        <v>1</v>
      </c>
      <c r="AA31" s="806" t="str">
        <f t="shared" ref="AA31:AA38" si="73">+O31</f>
        <v xml:space="preserve">Tramitar oportunamente las solicitudes de devoluciones de aportes radicadas por afiliados a los regímenes exceptuados y especiales con ingresos adicionales. </v>
      </c>
      <c r="AB31" s="812">
        <f>+P31</f>
        <v>61642068</v>
      </c>
      <c r="AC31" s="836" t="s">
        <v>48</v>
      </c>
      <c r="AD31" s="805">
        <v>0.25</v>
      </c>
      <c r="AE31" s="806" t="str">
        <f t="shared" si="41"/>
        <v xml:space="preserve">Tramitar oportunamente las solicitudes de devoluciones de aportes radicadas por afiliados a los regímenes exceptuados y especiales con ingresos adicionales. </v>
      </c>
      <c r="AF31" s="810">
        <f t="shared" si="42"/>
        <v>15410517</v>
      </c>
      <c r="AG31" s="811">
        <f>(181/183)*25%</f>
        <v>0.24726775956284153</v>
      </c>
      <c r="AH31" s="484">
        <v>10444906</v>
      </c>
      <c r="AI31" s="807">
        <f t="shared" si="43"/>
        <v>0.98907103825136611</v>
      </c>
      <c r="AJ31" s="807">
        <f t="shared" si="44"/>
        <v>0.67777777994080279</v>
      </c>
      <c r="AK31" s="807">
        <f t="shared" si="45"/>
        <v>0.24726775956284153</v>
      </c>
      <c r="AL31" s="807">
        <f t="shared" si="46"/>
        <v>0.1694444449852007</v>
      </c>
      <c r="AM31" s="459" t="s">
        <v>1366</v>
      </c>
      <c r="AN31" s="805">
        <v>0.25</v>
      </c>
      <c r="AO31" s="806" t="str">
        <f t="shared" si="47"/>
        <v xml:space="preserve">Tramitar oportunamente las solicitudes de devoluciones de aportes radicadas por afiliados a los regímenes exceptuados y especiales con ingresos adicionales. </v>
      </c>
      <c r="AP31" s="810">
        <f t="shared" si="48"/>
        <v>15410517</v>
      </c>
      <c r="AQ31" s="804">
        <f>(183/183)*25%</f>
        <v>0.25</v>
      </c>
      <c r="AR31" s="484">
        <v>15410517</v>
      </c>
      <c r="AS31" s="807">
        <f t="shared" si="49"/>
        <v>1</v>
      </c>
      <c r="AT31" s="807">
        <f t="shared" si="50"/>
        <v>1</v>
      </c>
      <c r="AU31" s="807">
        <f t="shared" si="51"/>
        <v>0.49726775956284153</v>
      </c>
      <c r="AV31" s="807">
        <f t="shared" si="52"/>
        <v>0.41944444498520067</v>
      </c>
      <c r="AW31" s="808" t="s">
        <v>1671</v>
      </c>
      <c r="AX31" s="805">
        <v>0.25</v>
      </c>
      <c r="AY31" s="806" t="str">
        <f t="shared" si="53"/>
        <v xml:space="preserve">Tramitar oportunamente las solicitudes de devoluciones de aportes radicadas por afiliados a los regímenes exceptuados y especiales con ingresos adicionales. </v>
      </c>
      <c r="AZ31" s="810">
        <f t="shared" si="54"/>
        <v>15410517</v>
      </c>
      <c r="BA31" s="156">
        <f>+(153/153)*AX31</f>
        <v>0.25</v>
      </c>
      <c r="BB31" s="942">
        <v>15410517</v>
      </c>
      <c r="BC31" s="807">
        <f t="shared" si="55"/>
        <v>1</v>
      </c>
      <c r="BD31" s="807">
        <f t="shared" si="56"/>
        <v>1</v>
      </c>
      <c r="BE31" s="807">
        <f t="shared" si="57"/>
        <v>0.74726775956284153</v>
      </c>
      <c r="BF31" s="807">
        <f t="shared" si="58"/>
        <v>0.66944444498520073</v>
      </c>
      <c r="BG31" s="940" t="s">
        <v>1869</v>
      </c>
      <c r="BH31" s="805">
        <v>0.25</v>
      </c>
      <c r="BI31" s="806" t="str">
        <f t="shared" si="59"/>
        <v xml:space="preserve">Tramitar oportunamente las solicitudes de devoluciones de aportes radicadas por afiliados a los regímenes exceptuados y especiales con ingresos adicionales. </v>
      </c>
      <c r="BJ31" s="810">
        <f t="shared" si="60"/>
        <v>15410517</v>
      </c>
      <c r="BK31" s="1081">
        <f>(146/146)*25%</f>
        <v>0.25</v>
      </c>
      <c r="BL31" s="1082">
        <v>15410517</v>
      </c>
      <c r="BM31" s="805">
        <f t="shared" si="61"/>
        <v>1</v>
      </c>
      <c r="BN31" s="805">
        <f t="shared" si="62"/>
        <v>1</v>
      </c>
      <c r="BO31" s="805">
        <f t="shared" si="63"/>
        <v>0.99726775956284153</v>
      </c>
      <c r="BP31" s="805">
        <f t="shared" si="64"/>
        <v>0.91944444498520073</v>
      </c>
      <c r="BQ31" s="1069" t="s">
        <v>2001</v>
      </c>
      <c r="BR31" s="631">
        <f t="shared" si="65"/>
        <v>0.98907103825136611</v>
      </c>
      <c r="BS31" s="631">
        <f t="shared" si="66"/>
        <v>0.67777777994080279</v>
      </c>
      <c r="BT31" s="631">
        <f t="shared" si="67"/>
        <v>1</v>
      </c>
      <c r="BU31" s="631">
        <f t="shared" si="68"/>
        <v>1</v>
      </c>
      <c r="BV31" s="631">
        <f t="shared" si="69"/>
        <v>1</v>
      </c>
      <c r="BW31" s="631">
        <f t="shared" si="70"/>
        <v>1</v>
      </c>
      <c r="BX31" s="631">
        <f t="shared" si="71"/>
        <v>1</v>
      </c>
      <c r="BY31" s="685">
        <f t="shared" si="72"/>
        <v>1</v>
      </c>
      <c r="BZ31" s="148">
        <f t="shared" si="1"/>
        <v>0</v>
      </c>
    </row>
    <row r="32" spans="1:79" s="69" customFormat="1" ht="102" x14ac:dyDescent="0.2">
      <c r="A32" s="813">
        <v>11400</v>
      </c>
      <c r="B32" s="806" t="s">
        <v>12</v>
      </c>
      <c r="C32" s="806" t="s">
        <v>330</v>
      </c>
      <c r="D32" s="822" t="s">
        <v>1017</v>
      </c>
      <c r="E32" s="822"/>
      <c r="F32" s="814" t="s">
        <v>65</v>
      </c>
      <c r="G32" s="806" t="s">
        <v>344</v>
      </c>
      <c r="H32" s="814" t="s">
        <v>66</v>
      </c>
      <c r="I32" s="806" t="s">
        <v>340</v>
      </c>
      <c r="J32" s="814" t="s">
        <v>967</v>
      </c>
      <c r="K32" s="806" t="s">
        <v>389</v>
      </c>
      <c r="L32" s="817" t="s">
        <v>390</v>
      </c>
      <c r="M32" s="66">
        <v>12</v>
      </c>
      <c r="N32" s="814" t="s">
        <v>975</v>
      </c>
      <c r="O32" s="806" t="s">
        <v>388</v>
      </c>
      <c r="P32" s="810">
        <v>0</v>
      </c>
      <c r="Q32" s="811">
        <v>1</v>
      </c>
      <c r="R32" s="806" t="s">
        <v>17</v>
      </c>
      <c r="S32" s="806" t="s">
        <v>295</v>
      </c>
      <c r="T32" s="806" t="s">
        <v>629</v>
      </c>
      <c r="U32" s="806" t="s">
        <v>632</v>
      </c>
      <c r="V32" s="806" t="s">
        <v>79</v>
      </c>
      <c r="W32" s="806" t="s">
        <v>1268</v>
      </c>
      <c r="X32" s="806" t="s">
        <v>393</v>
      </c>
      <c r="Y32" s="806" t="s">
        <v>204</v>
      </c>
      <c r="Z32" s="66">
        <v>12</v>
      </c>
      <c r="AA32" s="70" t="str">
        <f t="shared" si="73"/>
        <v>Ejecutar los procesos de liquidación y reconocimiento de la UPC de los afiliados al régimen subsidiado.</v>
      </c>
      <c r="AB32" s="71">
        <f t="shared" ref="AB32:AB38" si="74">+P32</f>
        <v>0</v>
      </c>
      <c r="AC32" s="836" t="s">
        <v>48</v>
      </c>
      <c r="AD32" s="66">
        <v>3</v>
      </c>
      <c r="AE32" s="806" t="str">
        <f t="shared" si="41"/>
        <v>Ejecutar los procesos de liquidación y reconocimiento de la UPC de los afiliados al régimen subsidiado.</v>
      </c>
      <c r="AF32" s="810">
        <v>0</v>
      </c>
      <c r="AG32" s="814">
        <v>3</v>
      </c>
      <c r="AH32" s="810">
        <v>0</v>
      </c>
      <c r="AI32" s="807">
        <f t="shared" si="43"/>
        <v>1</v>
      </c>
      <c r="AJ32" s="807" t="e">
        <f t="shared" si="44"/>
        <v>#DIV/0!</v>
      </c>
      <c r="AK32" s="807">
        <f t="shared" si="45"/>
        <v>0.25</v>
      </c>
      <c r="AL32" s="807" t="e">
        <f t="shared" si="46"/>
        <v>#DIV/0!</v>
      </c>
      <c r="AM32" s="809" t="s">
        <v>1587</v>
      </c>
      <c r="AN32" s="66">
        <v>3</v>
      </c>
      <c r="AO32" s="806" t="str">
        <f t="shared" si="47"/>
        <v>Ejecutar los procesos de liquidación y reconocimiento de la UPC de los afiliados al régimen subsidiado.</v>
      </c>
      <c r="AP32" s="810">
        <v>0</v>
      </c>
      <c r="AQ32" s="817">
        <v>3</v>
      </c>
      <c r="AR32" s="810">
        <v>0</v>
      </c>
      <c r="AS32" s="807">
        <f t="shared" si="49"/>
        <v>1</v>
      </c>
      <c r="AT32" s="807" t="e">
        <f t="shared" si="50"/>
        <v>#DIV/0!</v>
      </c>
      <c r="AU32" s="807">
        <f t="shared" si="51"/>
        <v>0.5</v>
      </c>
      <c r="AV32" s="807" t="e">
        <f t="shared" si="52"/>
        <v>#DIV/0!</v>
      </c>
      <c r="AW32" s="808" t="s">
        <v>1672</v>
      </c>
      <c r="AX32" s="66">
        <v>3</v>
      </c>
      <c r="AY32" s="806" t="str">
        <f t="shared" si="53"/>
        <v>Ejecutar los procesos de liquidación y reconocimiento de la UPC de los afiliados al régimen subsidiado.</v>
      </c>
      <c r="AZ32" s="810">
        <v>0</v>
      </c>
      <c r="BA32" s="66">
        <v>3</v>
      </c>
      <c r="BB32" s="942">
        <v>0</v>
      </c>
      <c r="BC32" s="807">
        <f t="shared" si="55"/>
        <v>1</v>
      </c>
      <c r="BD32" s="807" t="e">
        <f t="shared" si="56"/>
        <v>#DIV/0!</v>
      </c>
      <c r="BE32" s="807">
        <f t="shared" si="57"/>
        <v>0.75</v>
      </c>
      <c r="BF32" s="807" t="e">
        <f t="shared" si="58"/>
        <v>#DIV/0!</v>
      </c>
      <c r="BG32" s="940" t="s">
        <v>1870</v>
      </c>
      <c r="BH32" s="66">
        <v>3</v>
      </c>
      <c r="BI32" s="806" t="str">
        <f t="shared" si="59"/>
        <v>Ejecutar los procesos de liquidación y reconocimiento de la UPC de los afiliados al régimen subsidiado.</v>
      </c>
      <c r="BJ32" s="810">
        <v>0</v>
      </c>
      <c r="BK32" s="1065">
        <v>3</v>
      </c>
      <c r="BL32" s="1064">
        <v>0</v>
      </c>
      <c r="BM32" s="805">
        <f t="shared" si="61"/>
        <v>1</v>
      </c>
      <c r="BN32" s="805" t="e">
        <f t="shared" si="62"/>
        <v>#DIV/0!</v>
      </c>
      <c r="BO32" s="805">
        <f t="shared" si="63"/>
        <v>1</v>
      </c>
      <c r="BP32" s="805" t="e">
        <f t="shared" si="64"/>
        <v>#DIV/0!</v>
      </c>
      <c r="BQ32" s="1069" t="s">
        <v>1998</v>
      </c>
      <c r="BR32" s="631">
        <f t="shared" si="65"/>
        <v>1</v>
      </c>
      <c r="BS32" s="631" t="str">
        <f t="shared" si="66"/>
        <v>No Prog ni Ejec</v>
      </c>
      <c r="BT32" s="631">
        <f t="shared" si="67"/>
        <v>1</v>
      </c>
      <c r="BU32" s="631" t="str">
        <f t="shared" si="68"/>
        <v>No Prog ni Ejec</v>
      </c>
      <c r="BV32" s="631">
        <f t="shared" si="69"/>
        <v>1</v>
      </c>
      <c r="BW32" s="631" t="str">
        <f t="shared" si="70"/>
        <v>No Prog ni Ejec</v>
      </c>
      <c r="BX32" s="631">
        <f t="shared" si="71"/>
        <v>1</v>
      </c>
      <c r="BY32" s="685" t="str">
        <f t="shared" si="72"/>
        <v>No Prog ni Ejec</v>
      </c>
      <c r="BZ32" s="148">
        <f t="shared" si="1"/>
        <v>0</v>
      </c>
    </row>
    <row r="33" spans="1:78" s="69" customFormat="1" ht="102" x14ac:dyDescent="0.2">
      <c r="A33" s="813">
        <v>11400</v>
      </c>
      <c r="B33" s="806" t="s">
        <v>12</v>
      </c>
      <c r="C33" s="806" t="s">
        <v>330</v>
      </c>
      <c r="D33" s="822" t="s">
        <v>1017</v>
      </c>
      <c r="E33" s="822"/>
      <c r="F33" s="814" t="s">
        <v>65</v>
      </c>
      <c r="G33" s="806" t="s">
        <v>344</v>
      </c>
      <c r="H33" s="814" t="s">
        <v>66</v>
      </c>
      <c r="I33" s="806" t="s">
        <v>340</v>
      </c>
      <c r="J33" s="814" t="s">
        <v>968</v>
      </c>
      <c r="K33" s="806" t="s">
        <v>392</v>
      </c>
      <c r="L33" s="817" t="s">
        <v>390</v>
      </c>
      <c r="M33" s="66">
        <v>12</v>
      </c>
      <c r="N33" s="814" t="s">
        <v>976</v>
      </c>
      <c r="O33" s="806" t="s">
        <v>391</v>
      </c>
      <c r="P33" s="810">
        <v>0</v>
      </c>
      <c r="Q33" s="811">
        <v>1</v>
      </c>
      <c r="R33" s="806" t="s">
        <v>17</v>
      </c>
      <c r="S33" s="806" t="s">
        <v>295</v>
      </c>
      <c r="T33" s="806" t="s">
        <v>629</v>
      </c>
      <c r="U33" s="806" t="s">
        <v>632</v>
      </c>
      <c r="V33" s="806" t="s">
        <v>75</v>
      </c>
      <c r="W33" s="806" t="s">
        <v>1269</v>
      </c>
      <c r="X33" s="806" t="s">
        <v>415</v>
      </c>
      <c r="Y33" s="806" t="s">
        <v>204</v>
      </c>
      <c r="Z33" s="66">
        <v>12</v>
      </c>
      <c r="AA33" s="70" t="str">
        <f t="shared" si="73"/>
        <v xml:space="preserve">Ejecutar los procesos de liquidación y reconocimiento de licencias de maternidad y paternidad. </v>
      </c>
      <c r="AB33" s="71">
        <f t="shared" si="74"/>
        <v>0</v>
      </c>
      <c r="AC33" s="836" t="s">
        <v>48</v>
      </c>
      <c r="AD33" s="66">
        <v>3</v>
      </c>
      <c r="AE33" s="806" t="str">
        <f t="shared" si="41"/>
        <v xml:space="preserve">Ejecutar los procesos de liquidación y reconocimiento de licencias de maternidad y paternidad. </v>
      </c>
      <c r="AF33" s="810">
        <v>0</v>
      </c>
      <c r="AG33" s="814">
        <v>3</v>
      </c>
      <c r="AH33" s="810">
        <v>0</v>
      </c>
      <c r="AI33" s="807">
        <f t="shared" si="43"/>
        <v>1</v>
      </c>
      <c r="AJ33" s="807" t="e">
        <f t="shared" si="44"/>
        <v>#DIV/0!</v>
      </c>
      <c r="AK33" s="807">
        <f t="shared" si="45"/>
        <v>0.25</v>
      </c>
      <c r="AL33" s="807" t="e">
        <f t="shared" si="46"/>
        <v>#DIV/0!</v>
      </c>
      <c r="AM33" s="459" t="s">
        <v>1367</v>
      </c>
      <c r="AN33" s="66">
        <v>3</v>
      </c>
      <c r="AO33" s="806" t="str">
        <f t="shared" si="47"/>
        <v xml:space="preserve">Ejecutar los procesos de liquidación y reconocimiento de licencias de maternidad y paternidad. </v>
      </c>
      <c r="AP33" s="810">
        <v>0</v>
      </c>
      <c r="AQ33" s="817">
        <v>3</v>
      </c>
      <c r="AR33" s="810">
        <v>0</v>
      </c>
      <c r="AS33" s="807">
        <f t="shared" si="49"/>
        <v>1</v>
      </c>
      <c r="AT33" s="807" t="e">
        <f t="shared" si="50"/>
        <v>#DIV/0!</v>
      </c>
      <c r="AU33" s="807">
        <f t="shared" si="51"/>
        <v>0.5</v>
      </c>
      <c r="AV33" s="807" t="e">
        <f t="shared" si="52"/>
        <v>#DIV/0!</v>
      </c>
      <c r="AW33" s="808" t="s">
        <v>1367</v>
      </c>
      <c r="AX33" s="66">
        <v>3</v>
      </c>
      <c r="AY33" s="806" t="str">
        <f t="shared" si="53"/>
        <v xml:space="preserve">Ejecutar los procesos de liquidación y reconocimiento de licencias de maternidad y paternidad. </v>
      </c>
      <c r="AZ33" s="810">
        <v>0</v>
      </c>
      <c r="BA33" s="943">
        <v>3</v>
      </c>
      <c r="BB33" s="942">
        <v>0</v>
      </c>
      <c r="BC33" s="807">
        <f t="shared" si="55"/>
        <v>1</v>
      </c>
      <c r="BD33" s="807" t="e">
        <f t="shared" si="56"/>
        <v>#DIV/0!</v>
      </c>
      <c r="BE33" s="807">
        <f t="shared" si="57"/>
        <v>0.75</v>
      </c>
      <c r="BF33" s="807" t="e">
        <f t="shared" si="58"/>
        <v>#DIV/0!</v>
      </c>
      <c r="BG33" s="459" t="s">
        <v>1871</v>
      </c>
      <c r="BH33" s="66">
        <v>3</v>
      </c>
      <c r="BI33" s="806" t="str">
        <f t="shared" si="59"/>
        <v xml:space="preserve">Ejecutar los procesos de liquidación y reconocimiento de licencias de maternidad y paternidad. </v>
      </c>
      <c r="BJ33" s="810">
        <v>0</v>
      </c>
      <c r="BK33" s="1065">
        <v>3</v>
      </c>
      <c r="BL33" s="1064">
        <v>0</v>
      </c>
      <c r="BM33" s="805">
        <f t="shared" si="61"/>
        <v>1</v>
      </c>
      <c r="BN33" s="805" t="e">
        <f t="shared" si="62"/>
        <v>#DIV/0!</v>
      </c>
      <c r="BO33" s="805">
        <f t="shared" si="63"/>
        <v>1</v>
      </c>
      <c r="BP33" s="805" t="e">
        <f t="shared" si="64"/>
        <v>#DIV/0!</v>
      </c>
      <c r="BQ33" s="459" t="s">
        <v>1871</v>
      </c>
      <c r="BR33" s="631">
        <f t="shared" si="65"/>
        <v>1</v>
      </c>
      <c r="BS33" s="631" t="str">
        <f t="shared" si="66"/>
        <v>No Prog ni Ejec</v>
      </c>
      <c r="BT33" s="631">
        <f t="shared" si="67"/>
        <v>1</v>
      </c>
      <c r="BU33" s="631" t="str">
        <f t="shared" si="68"/>
        <v>No Prog ni Ejec</v>
      </c>
      <c r="BV33" s="631">
        <f t="shared" si="69"/>
        <v>1</v>
      </c>
      <c r="BW33" s="631" t="str">
        <f t="shared" si="70"/>
        <v>No Prog ni Ejec</v>
      </c>
      <c r="BX33" s="631">
        <f t="shared" si="71"/>
        <v>1</v>
      </c>
      <c r="BY33" s="685" t="str">
        <f t="shared" si="72"/>
        <v>No Prog ni Ejec</v>
      </c>
      <c r="BZ33" s="148">
        <f t="shared" si="1"/>
        <v>0</v>
      </c>
    </row>
    <row r="34" spans="1:78" s="69" customFormat="1" ht="153" customHeight="1" x14ac:dyDescent="0.2">
      <c r="A34" s="813">
        <v>11400</v>
      </c>
      <c r="B34" s="806" t="s">
        <v>12</v>
      </c>
      <c r="C34" s="806" t="s">
        <v>330</v>
      </c>
      <c r="D34" s="822" t="s">
        <v>1017</v>
      </c>
      <c r="E34" s="822"/>
      <c r="F34" s="814" t="s">
        <v>65</v>
      </c>
      <c r="G34" s="806" t="s">
        <v>344</v>
      </c>
      <c r="H34" s="814" t="s">
        <v>66</v>
      </c>
      <c r="I34" s="806" t="s">
        <v>340</v>
      </c>
      <c r="J34" s="814" t="s">
        <v>969</v>
      </c>
      <c r="K34" s="806" t="s">
        <v>395</v>
      </c>
      <c r="L34" s="817" t="s">
        <v>390</v>
      </c>
      <c r="M34" s="66">
        <v>6</v>
      </c>
      <c r="N34" s="814" t="s">
        <v>977</v>
      </c>
      <c r="O34" s="806" t="s">
        <v>394</v>
      </c>
      <c r="P34" s="557">
        <v>6053049</v>
      </c>
      <c r="Q34" s="811">
        <v>1</v>
      </c>
      <c r="R34" s="806" t="s">
        <v>17</v>
      </c>
      <c r="S34" s="806" t="s">
        <v>295</v>
      </c>
      <c r="T34" s="806" t="s">
        <v>629</v>
      </c>
      <c r="U34" s="806" t="s">
        <v>632</v>
      </c>
      <c r="V34" s="806" t="s">
        <v>75</v>
      </c>
      <c r="W34" s="806" t="s">
        <v>204</v>
      </c>
      <c r="X34" s="806" t="s">
        <v>396</v>
      </c>
      <c r="Y34" s="806" t="s">
        <v>204</v>
      </c>
      <c r="Z34" s="66">
        <v>6</v>
      </c>
      <c r="AA34" s="70" t="str">
        <f t="shared" si="73"/>
        <v xml:space="preserve">Desarrollar auditorías a los procesos de liquidación y reconocimiento de UPC de los afiliados al régimen contributivo y subsidiado. </v>
      </c>
      <c r="AB34" s="1084">
        <f t="shared" si="74"/>
        <v>6053049</v>
      </c>
      <c r="AC34" s="836" t="s">
        <v>48</v>
      </c>
      <c r="AD34" s="66">
        <v>0</v>
      </c>
      <c r="AE34" s="806" t="str">
        <f t="shared" si="41"/>
        <v xml:space="preserve">Desarrollar auditorías a los procesos de liquidación y reconocimiento de UPC de los afiliados al régimen contributivo y subsidiado. </v>
      </c>
      <c r="AF34" s="810">
        <v>0</v>
      </c>
      <c r="AG34" s="814">
        <v>0</v>
      </c>
      <c r="AH34" s="810">
        <v>0</v>
      </c>
      <c r="AI34" s="807" t="e">
        <f>+(AG34/AD34)</f>
        <v>#DIV/0!</v>
      </c>
      <c r="AJ34" s="807" t="e">
        <f t="shared" si="44"/>
        <v>#DIV/0!</v>
      </c>
      <c r="AK34" s="807">
        <f t="shared" si="45"/>
        <v>0</v>
      </c>
      <c r="AL34" s="807">
        <f t="shared" si="46"/>
        <v>0</v>
      </c>
      <c r="AM34" s="459" t="s">
        <v>1368</v>
      </c>
      <c r="AN34" s="66">
        <v>2</v>
      </c>
      <c r="AO34" s="806" t="str">
        <f t="shared" si="47"/>
        <v xml:space="preserve">Desarrollar auditorías a los procesos de liquidación y reconocimiento de UPC de los afiliados al régimen contributivo y subsidiado. </v>
      </c>
      <c r="AP34" s="810">
        <v>0</v>
      </c>
      <c r="AQ34" s="817">
        <v>2</v>
      </c>
      <c r="AR34" s="810">
        <v>0</v>
      </c>
      <c r="AS34" s="807">
        <f t="shared" si="49"/>
        <v>1</v>
      </c>
      <c r="AT34" s="807" t="e">
        <f t="shared" si="50"/>
        <v>#DIV/0!</v>
      </c>
      <c r="AU34" s="807">
        <f t="shared" si="51"/>
        <v>0.33333333333333331</v>
      </c>
      <c r="AV34" s="807">
        <f t="shared" si="52"/>
        <v>0</v>
      </c>
      <c r="AW34" s="808" t="s">
        <v>1673</v>
      </c>
      <c r="AX34" s="66">
        <v>2</v>
      </c>
      <c r="AY34" s="806" t="str">
        <f t="shared" si="53"/>
        <v xml:space="preserve">Desarrollar auditorías a los procesos de liquidación y reconocimiento de UPC de los afiliados al régimen contributivo y subsidiado. </v>
      </c>
      <c r="AZ34" s="810">
        <v>0</v>
      </c>
      <c r="BA34" s="66">
        <v>2</v>
      </c>
      <c r="BB34" s="942">
        <v>0</v>
      </c>
      <c r="BC34" s="807">
        <f t="shared" si="55"/>
        <v>1</v>
      </c>
      <c r="BD34" s="807" t="e">
        <f t="shared" si="56"/>
        <v>#DIV/0!</v>
      </c>
      <c r="BE34" s="807">
        <f t="shared" si="57"/>
        <v>0.66666666666666663</v>
      </c>
      <c r="BF34" s="807">
        <f t="shared" si="58"/>
        <v>0</v>
      </c>
      <c r="BG34" s="940" t="s">
        <v>1872</v>
      </c>
      <c r="BH34" s="66">
        <v>2</v>
      </c>
      <c r="BI34" s="806" t="str">
        <f t="shared" si="59"/>
        <v xml:space="preserve">Desarrollar auditorías a los procesos de liquidación y reconocimiento de UPC de los afiliados al régimen contributivo y subsidiado. </v>
      </c>
      <c r="BJ34" s="557">
        <v>6053049</v>
      </c>
      <c r="BK34" s="1065">
        <v>2</v>
      </c>
      <c r="BL34" s="1064">
        <v>5245976</v>
      </c>
      <c r="BM34" s="805">
        <f>+(BK34/BH34)</f>
        <v>1</v>
      </c>
      <c r="BN34" s="805">
        <f t="shared" si="62"/>
        <v>0.86666669970786625</v>
      </c>
      <c r="BO34" s="805">
        <f>+(AQ34+AG34+BA34+BK34)/Z34</f>
        <v>1</v>
      </c>
      <c r="BP34" s="805">
        <f>+(AR34+AH34+BB34+BL34)/AB34</f>
        <v>0.86666669970786625</v>
      </c>
      <c r="BQ34" s="1069" t="s">
        <v>1999</v>
      </c>
      <c r="BR34" s="631" t="str">
        <f t="shared" si="65"/>
        <v>No Prog ni Ejec</v>
      </c>
      <c r="BS34" s="631" t="str">
        <f t="shared" si="66"/>
        <v>No Prog ni Ejec</v>
      </c>
      <c r="BT34" s="631">
        <f t="shared" si="67"/>
        <v>1</v>
      </c>
      <c r="BU34" s="631" t="str">
        <f t="shared" si="68"/>
        <v>No Prog ni Ejec</v>
      </c>
      <c r="BV34" s="631">
        <f t="shared" si="69"/>
        <v>1</v>
      </c>
      <c r="BW34" s="631" t="str">
        <f t="shared" si="70"/>
        <v>No Prog ni Ejec</v>
      </c>
      <c r="BX34" s="631">
        <f t="shared" si="71"/>
        <v>1</v>
      </c>
      <c r="BY34" s="685">
        <f t="shared" si="72"/>
        <v>0.86666669970786625</v>
      </c>
      <c r="BZ34" s="148">
        <f t="shared" si="1"/>
        <v>0</v>
      </c>
    </row>
    <row r="35" spans="1:78" s="77" customFormat="1" ht="181.5" customHeight="1" x14ac:dyDescent="0.2">
      <c r="A35" s="813">
        <v>11400</v>
      </c>
      <c r="B35" s="806" t="s">
        <v>12</v>
      </c>
      <c r="C35" s="806" t="s">
        <v>330</v>
      </c>
      <c r="D35" s="822" t="s">
        <v>1017</v>
      </c>
      <c r="E35" s="822"/>
      <c r="F35" s="814" t="s">
        <v>65</v>
      </c>
      <c r="G35" s="806" t="s">
        <v>402</v>
      </c>
      <c r="H35" s="814" t="s">
        <v>67</v>
      </c>
      <c r="I35" s="806" t="s">
        <v>343</v>
      </c>
      <c r="J35" s="814" t="s">
        <v>961</v>
      </c>
      <c r="K35" s="806" t="s">
        <v>1059</v>
      </c>
      <c r="L35" s="817" t="s">
        <v>390</v>
      </c>
      <c r="M35" s="66">
        <v>8</v>
      </c>
      <c r="N35" s="814" t="s">
        <v>115</v>
      </c>
      <c r="O35" s="996" t="s">
        <v>1947</v>
      </c>
      <c r="P35" s="810">
        <v>0</v>
      </c>
      <c r="Q35" s="811">
        <v>1</v>
      </c>
      <c r="R35" s="806" t="s">
        <v>294</v>
      </c>
      <c r="S35" s="806" t="s">
        <v>308</v>
      </c>
      <c r="T35" s="806" t="s">
        <v>628</v>
      </c>
      <c r="U35" s="806" t="s">
        <v>630</v>
      </c>
      <c r="V35" s="806" t="s">
        <v>1049</v>
      </c>
      <c r="W35" s="806" t="s">
        <v>1266</v>
      </c>
      <c r="X35" s="806" t="s">
        <v>1060</v>
      </c>
      <c r="Y35" s="806" t="s">
        <v>204</v>
      </c>
      <c r="Z35" s="66">
        <v>8</v>
      </c>
      <c r="AA35" s="70" t="str">
        <f t="shared" si="73"/>
        <v>Realizar análisis sobre procesos o tecnologías reconocidas por la ADRES (Prescripción, suministro y uso de medicamentos NO PBS; atenciones en salud derivados de accidentes de tránsito; modelo de operación de recobros y reclamaciones y ponderador de la UPC)</v>
      </c>
      <c r="AB35" s="71">
        <f t="shared" si="74"/>
        <v>0</v>
      </c>
      <c r="AC35" s="836" t="s">
        <v>48</v>
      </c>
      <c r="AD35" s="66">
        <v>2</v>
      </c>
      <c r="AE35" s="806" t="str">
        <f t="shared" si="41"/>
        <v>Realizar análisis sobre procesos o tecnologías reconocidas por la ADRES (Prescripción, suministro y uso de medicamentos NO PBS; atenciones en salud derivados de accidentes de tránsito; modelo de operación de recobros y reclamaciones y ponderador de la UPC)</v>
      </c>
      <c r="AF35" s="810">
        <v>0</v>
      </c>
      <c r="AG35" s="818">
        <v>2</v>
      </c>
      <c r="AH35" s="810">
        <v>0</v>
      </c>
      <c r="AI35" s="807">
        <f t="shared" si="43"/>
        <v>1</v>
      </c>
      <c r="AJ35" s="807" t="e">
        <f t="shared" si="44"/>
        <v>#DIV/0!</v>
      </c>
      <c r="AK35" s="807">
        <f t="shared" si="45"/>
        <v>0.25</v>
      </c>
      <c r="AL35" s="807" t="e">
        <f t="shared" si="46"/>
        <v>#DIV/0!</v>
      </c>
      <c r="AM35" s="875" t="s">
        <v>1406</v>
      </c>
      <c r="AN35" s="66">
        <v>2</v>
      </c>
      <c r="AO35" s="806" t="str">
        <f t="shared" si="47"/>
        <v>Realizar análisis sobre procesos o tecnologías reconocidas por la ADRES (Prescripción, suministro y uso de medicamentos NO PBS; atenciones en salud derivados de accidentes de tránsito; modelo de operación de recobros y reclamaciones y ponderador de la UPC)</v>
      </c>
      <c r="AP35" s="810">
        <v>0</v>
      </c>
      <c r="AQ35" s="817">
        <v>2</v>
      </c>
      <c r="AR35" s="810">
        <v>0</v>
      </c>
      <c r="AS35" s="807">
        <f t="shared" si="49"/>
        <v>1</v>
      </c>
      <c r="AT35" s="807" t="e">
        <f t="shared" si="50"/>
        <v>#DIV/0!</v>
      </c>
      <c r="AU35" s="807">
        <f t="shared" si="51"/>
        <v>0.5</v>
      </c>
      <c r="AV35" s="807" t="e">
        <f t="shared" si="52"/>
        <v>#DIV/0!</v>
      </c>
      <c r="AW35" s="808" t="s">
        <v>1725</v>
      </c>
      <c r="AX35" s="66">
        <v>2</v>
      </c>
      <c r="AY35" s="806" t="str">
        <f t="shared" si="53"/>
        <v>Realizar análisis sobre procesos o tecnologías reconocidas por la ADRES (Prescripción, suministro y uso de medicamentos NO PBS; atenciones en salud derivados de accidentes de tránsito; modelo de operación de recobros y reclamaciones y ponderador de la UPC)</v>
      </c>
      <c r="AZ35" s="810">
        <v>0</v>
      </c>
      <c r="BA35" s="943">
        <v>2</v>
      </c>
      <c r="BB35" s="942">
        <v>0</v>
      </c>
      <c r="BC35" s="807">
        <f t="shared" si="55"/>
        <v>1</v>
      </c>
      <c r="BD35" s="807" t="e">
        <f t="shared" si="56"/>
        <v>#DIV/0!</v>
      </c>
      <c r="BE35" s="807">
        <f t="shared" si="57"/>
        <v>0.75</v>
      </c>
      <c r="BF35" s="807" t="e">
        <f t="shared" si="58"/>
        <v>#DIV/0!</v>
      </c>
      <c r="BG35" s="940" t="s">
        <v>1873</v>
      </c>
      <c r="BH35" s="66">
        <v>2</v>
      </c>
      <c r="BI35" s="806" t="str">
        <f t="shared" si="59"/>
        <v>Realizar análisis sobre procesos o tecnologías reconocidas por la ADRES (Prescripción, suministro y uso de medicamentos NO PBS; atenciones en salud derivados de accidentes de tránsito; modelo de operación de recobros y reclamaciones y ponderador de la UPC)</v>
      </c>
      <c r="BJ35" s="810">
        <v>0</v>
      </c>
      <c r="BK35" s="66">
        <v>2</v>
      </c>
      <c r="BL35" s="1064">
        <v>0</v>
      </c>
      <c r="BM35" s="805">
        <f t="shared" si="61"/>
        <v>1</v>
      </c>
      <c r="BN35" s="805" t="e">
        <f t="shared" si="62"/>
        <v>#DIV/0!</v>
      </c>
      <c r="BO35" s="805">
        <f t="shared" si="63"/>
        <v>1</v>
      </c>
      <c r="BP35" s="805" t="e">
        <f t="shared" si="64"/>
        <v>#DIV/0!</v>
      </c>
      <c r="BQ35" s="1069" t="s">
        <v>2000</v>
      </c>
      <c r="BR35" s="151">
        <f t="shared" si="65"/>
        <v>1</v>
      </c>
      <c r="BS35" s="151" t="str">
        <f t="shared" si="66"/>
        <v>No Prog ni Ejec</v>
      </c>
      <c r="BT35" s="151">
        <f t="shared" si="67"/>
        <v>1</v>
      </c>
      <c r="BU35" s="151" t="str">
        <f t="shared" si="68"/>
        <v>No Prog ni Ejec</v>
      </c>
      <c r="BV35" s="151">
        <f t="shared" si="69"/>
        <v>1</v>
      </c>
      <c r="BW35" s="151" t="str">
        <f t="shared" si="70"/>
        <v>No Prog ni Ejec</v>
      </c>
      <c r="BX35" s="151">
        <f t="shared" si="71"/>
        <v>1</v>
      </c>
      <c r="BY35" s="686" t="str">
        <f t="shared" si="72"/>
        <v>No Prog ni Ejec</v>
      </c>
      <c r="BZ35" s="148">
        <f t="shared" si="1"/>
        <v>0</v>
      </c>
    </row>
    <row r="36" spans="1:78" s="77" customFormat="1" ht="140.25" customHeight="1" x14ac:dyDescent="0.2">
      <c r="A36" s="813">
        <v>11900</v>
      </c>
      <c r="B36" s="806" t="s">
        <v>125</v>
      </c>
      <c r="C36" s="806" t="s">
        <v>330</v>
      </c>
      <c r="D36" s="822" t="s">
        <v>1017</v>
      </c>
      <c r="E36" s="822"/>
      <c r="F36" s="814" t="s">
        <v>126</v>
      </c>
      <c r="G36" s="806" t="s">
        <v>60</v>
      </c>
      <c r="H36" s="815" t="s">
        <v>128</v>
      </c>
      <c r="I36" s="806" t="s">
        <v>342</v>
      </c>
      <c r="J36" s="814" t="s">
        <v>643</v>
      </c>
      <c r="K36" s="806" t="s">
        <v>465</v>
      </c>
      <c r="L36" s="817" t="s">
        <v>390</v>
      </c>
      <c r="M36" s="66">
        <v>2</v>
      </c>
      <c r="N36" s="814" t="s">
        <v>149</v>
      </c>
      <c r="O36" s="806" t="s">
        <v>464</v>
      </c>
      <c r="P36" s="810">
        <v>0</v>
      </c>
      <c r="Q36" s="811">
        <v>1</v>
      </c>
      <c r="R36" s="806" t="s">
        <v>17</v>
      </c>
      <c r="S36" s="806" t="s">
        <v>28</v>
      </c>
      <c r="T36" s="806" t="s">
        <v>629</v>
      </c>
      <c r="U36" s="806" t="s">
        <v>632</v>
      </c>
      <c r="V36" s="806" t="s">
        <v>1041</v>
      </c>
      <c r="W36" s="806" t="s">
        <v>1257</v>
      </c>
      <c r="X36" s="806" t="s">
        <v>466</v>
      </c>
      <c r="Y36" s="806" t="s">
        <v>204</v>
      </c>
      <c r="Z36" s="66">
        <v>2</v>
      </c>
      <c r="AA36" s="70" t="str">
        <f t="shared" si="73"/>
        <v>Adelantar acercamientos con altos organismos de rama judicial con el objeto de reducir el volumen de tutelas que recibe la entidad</v>
      </c>
      <c r="AB36" s="71">
        <f t="shared" si="74"/>
        <v>0</v>
      </c>
      <c r="AC36" s="836" t="s">
        <v>48</v>
      </c>
      <c r="AD36" s="66">
        <v>0</v>
      </c>
      <c r="AE36" s="806" t="str">
        <f t="shared" si="41"/>
        <v>Adelantar acercamientos con altos organismos de rama judicial con el objeto de reducir el volumen de tutelas que recibe la entidad</v>
      </c>
      <c r="AF36" s="810">
        <v>0</v>
      </c>
      <c r="AG36" s="462">
        <v>0</v>
      </c>
      <c r="AH36" s="840">
        <v>0</v>
      </c>
      <c r="AI36" s="807" t="e">
        <f t="shared" si="43"/>
        <v>#DIV/0!</v>
      </c>
      <c r="AJ36" s="807" t="e">
        <f t="shared" si="44"/>
        <v>#DIV/0!</v>
      </c>
      <c r="AK36" s="807">
        <f t="shared" si="45"/>
        <v>0</v>
      </c>
      <c r="AL36" s="807" t="e">
        <f t="shared" si="46"/>
        <v>#DIV/0!</v>
      </c>
      <c r="AM36" s="461" t="s">
        <v>1331</v>
      </c>
      <c r="AN36" s="66">
        <v>1</v>
      </c>
      <c r="AO36" s="806" t="str">
        <f t="shared" si="47"/>
        <v>Adelantar acercamientos con altos organismos de rama judicial con el objeto de reducir el volumen de tutelas que recibe la entidad</v>
      </c>
      <c r="AP36" s="810">
        <v>0</v>
      </c>
      <c r="AQ36" s="817">
        <v>0</v>
      </c>
      <c r="AR36" s="810">
        <v>0</v>
      </c>
      <c r="AS36" s="807">
        <f t="shared" si="49"/>
        <v>0</v>
      </c>
      <c r="AT36" s="807" t="e">
        <f t="shared" si="50"/>
        <v>#DIV/0!</v>
      </c>
      <c r="AU36" s="807">
        <f t="shared" si="51"/>
        <v>0</v>
      </c>
      <c r="AV36" s="807" t="e">
        <f t="shared" si="52"/>
        <v>#DIV/0!</v>
      </c>
      <c r="AW36" s="808" t="s">
        <v>1696</v>
      </c>
      <c r="AX36" s="66">
        <v>0</v>
      </c>
      <c r="AY36" s="806" t="str">
        <f t="shared" si="53"/>
        <v>Adelantar acercamientos con altos organismos de rama judicial con el objeto de reducir el volumen de tutelas que recibe la entidad</v>
      </c>
      <c r="AZ36" s="810">
        <v>0</v>
      </c>
      <c r="BA36" s="950">
        <v>0</v>
      </c>
      <c r="BB36" s="956">
        <v>0</v>
      </c>
      <c r="BC36" s="807" t="e">
        <f t="shared" si="55"/>
        <v>#DIV/0!</v>
      </c>
      <c r="BD36" s="807" t="e">
        <f t="shared" si="56"/>
        <v>#DIV/0!</v>
      </c>
      <c r="BE36" s="807">
        <f t="shared" si="57"/>
        <v>0</v>
      </c>
      <c r="BF36" s="807" t="e">
        <f t="shared" si="58"/>
        <v>#DIV/0!</v>
      </c>
      <c r="BG36" s="947" t="s">
        <v>1924</v>
      </c>
      <c r="BH36" s="66">
        <v>1</v>
      </c>
      <c r="BI36" s="806" t="str">
        <f t="shared" si="59"/>
        <v>Adelantar acercamientos con altos organismos de rama judicial con el objeto de reducir el volumen de tutelas que recibe la entidad</v>
      </c>
      <c r="BJ36" s="810">
        <v>0</v>
      </c>
      <c r="BK36" s="1066">
        <v>1</v>
      </c>
      <c r="BL36" s="1072">
        <v>0</v>
      </c>
      <c r="BM36" s="805">
        <f t="shared" si="61"/>
        <v>1</v>
      </c>
      <c r="BN36" s="805" t="e">
        <f t="shared" si="62"/>
        <v>#DIV/0!</v>
      </c>
      <c r="BO36" s="805">
        <f t="shared" si="63"/>
        <v>0.5</v>
      </c>
      <c r="BP36" s="805" t="e">
        <f t="shared" si="64"/>
        <v>#DIV/0!</v>
      </c>
      <c r="BQ36" s="1106" t="s">
        <v>2019</v>
      </c>
      <c r="BR36" s="151" t="str">
        <f t="shared" si="65"/>
        <v>No Prog ni Ejec</v>
      </c>
      <c r="BS36" s="151" t="str">
        <f t="shared" si="66"/>
        <v>No Prog ni Ejec</v>
      </c>
      <c r="BT36" s="151">
        <f t="shared" si="67"/>
        <v>0</v>
      </c>
      <c r="BU36" s="151" t="str">
        <f t="shared" si="68"/>
        <v>No Prog ni Ejec</v>
      </c>
      <c r="BV36" s="151" t="str">
        <f t="shared" si="69"/>
        <v>No Prog ni Ejec</v>
      </c>
      <c r="BW36" s="151" t="str">
        <f t="shared" si="70"/>
        <v>No Prog ni Ejec</v>
      </c>
      <c r="BX36" s="151">
        <f t="shared" si="71"/>
        <v>1</v>
      </c>
      <c r="BY36" s="686" t="str">
        <f t="shared" si="72"/>
        <v>No Prog ni Ejec</v>
      </c>
      <c r="BZ36" s="148">
        <f t="shared" si="1"/>
        <v>0</v>
      </c>
    </row>
    <row r="37" spans="1:78" s="77" customFormat="1" ht="140.25" customHeight="1" x14ac:dyDescent="0.2">
      <c r="A37" s="813">
        <v>11900</v>
      </c>
      <c r="B37" s="806" t="s">
        <v>125</v>
      </c>
      <c r="C37" s="806" t="s">
        <v>330</v>
      </c>
      <c r="D37" s="822" t="s">
        <v>1017</v>
      </c>
      <c r="E37" s="822"/>
      <c r="F37" s="814" t="s">
        <v>126</v>
      </c>
      <c r="G37" s="806" t="s">
        <v>60</v>
      </c>
      <c r="H37" s="815" t="s">
        <v>128</v>
      </c>
      <c r="I37" s="806" t="s">
        <v>342</v>
      </c>
      <c r="J37" s="814" t="s">
        <v>645</v>
      </c>
      <c r="K37" s="806" t="s">
        <v>497</v>
      </c>
      <c r="L37" s="817" t="s">
        <v>390</v>
      </c>
      <c r="M37" s="66">
        <v>1</v>
      </c>
      <c r="N37" s="814" t="s">
        <v>644</v>
      </c>
      <c r="O37" s="806" t="s">
        <v>498</v>
      </c>
      <c r="P37" s="810">
        <v>0</v>
      </c>
      <c r="Q37" s="811">
        <v>1</v>
      </c>
      <c r="R37" s="806" t="s">
        <v>18</v>
      </c>
      <c r="S37" s="806" t="s">
        <v>24</v>
      </c>
      <c r="T37" s="806" t="s">
        <v>629</v>
      </c>
      <c r="U37" s="806" t="s">
        <v>632</v>
      </c>
      <c r="V37" s="806" t="s">
        <v>1042</v>
      </c>
      <c r="W37" s="806" t="s">
        <v>204</v>
      </c>
      <c r="X37" s="806" t="s">
        <v>1585</v>
      </c>
      <c r="Y37" s="806" t="s">
        <v>1266</v>
      </c>
      <c r="Z37" s="66">
        <v>1</v>
      </c>
      <c r="AA37" s="70" t="str">
        <f t="shared" si="73"/>
        <v>Estudiar el convenio 370 del 2015 suscrito con el Ministerio de Transporte  y adelantar las gestiones que correspondan para que se amplíen los criterios de acceso a la información a la plataforma del RUNT</v>
      </c>
      <c r="AB37" s="71">
        <f t="shared" si="74"/>
        <v>0</v>
      </c>
      <c r="AC37" s="836" t="s">
        <v>48</v>
      </c>
      <c r="AD37" s="66">
        <v>0</v>
      </c>
      <c r="AE37" s="806" t="str">
        <f t="shared" si="41"/>
        <v>Estudiar el convenio 370 del 2015 suscrito con el Ministerio de Transporte  y adelantar las gestiones que correspondan para que se amplíen los criterios de acceso a la información a la plataforma del RUNT</v>
      </c>
      <c r="AF37" s="810">
        <v>0</v>
      </c>
      <c r="AG37" s="462">
        <v>0</v>
      </c>
      <c r="AH37" s="840">
        <v>0</v>
      </c>
      <c r="AI37" s="807" t="e">
        <f t="shared" si="43"/>
        <v>#DIV/0!</v>
      </c>
      <c r="AJ37" s="807" t="e">
        <f t="shared" si="44"/>
        <v>#DIV/0!</v>
      </c>
      <c r="AK37" s="807">
        <f t="shared" si="45"/>
        <v>0</v>
      </c>
      <c r="AL37" s="807" t="e">
        <f t="shared" si="46"/>
        <v>#DIV/0!</v>
      </c>
      <c r="AM37" s="461" t="s">
        <v>1331</v>
      </c>
      <c r="AN37" s="66">
        <v>0</v>
      </c>
      <c r="AO37" s="806" t="str">
        <f t="shared" si="47"/>
        <v>Estudiar el convenio 370 del 2015 suscrito con el Ministerio de Transporte  y adelantar las gestiones que correspondan para que se amplíen los criterios de acceso a la información a la plataforma del RUNT</v>
      </c>
      <c r="AP37" s="810">
        <v>0</v>
      </c>
      <c r="AQ37" s="817">
        <v>0</v>
      </c>
      <c r="AR37" s="810">
        <v>0</v>
      </c>
      <c r="AS37" s="807" t="e">
        <f t="shared" si="49"/>
        <v>#DIV/0!</v>
      </c>
      <c r="AT37" s="807" t="e">
        <f t="shared" si="50"/>
        <v>#DIV/0!</v>
      </c>
      <c r="AU37" s="807">
        <f t="shared" si="51"/>
        <v>0</v>
      </c>
      <c r="AV37" s="807" t="e">
        <f t="shared" si="52"/>
        <v>#DIV/0!</v>
      </c>
      <c r="AW37" s="490" t="s">
        <v>1331</v>
      </c>
      <c r="AX37" s="66">
        <v>0</v>
      </c>
      <c r="AY37" s="806" t="str">
        <f t="shared" si="53"/>
        <v>Estudiar el convenio 370 del 2015 suscrito con el Ministerio de Transporte  y adelantar las gestiones que correspondan para que se amplíen los criterios de acceso a la información a la plataforma del RUNT</v>
      </c>
      <c r="AZ37" s="810">
        <v>0</v>
      </c>
      <c r="BA37" s="950">
        <v>0</v>
      </c>
      <c r="BB37" s="956">
        <v>0</v>
      </c>
      <c r="BC37" s="807" t="e">
        <f t="shared" si="55"/>
        <v>#DIV/0!</v>
      </c>
      <c r="BD37" s="807" t="e">
        <f t="shared" si="56"/>
        <v>#DIV/0!</v>
      </c>
      <c r="BE37" s="807">
        <f t="shared" si="57"/>
        <v>0</v>
      </c>
      <c r="BF37" s="807" t="e">
        <f t="shared" si="58"/>
        <v>#DIV/0!</v>
      </c>
      <c r="BG37" s="807"/>
      <c r="BH37" s="66">
        <v>1</v>
      </c>
      <c r="BI37" s="806" t="str">
        <f t="shared" si="59"/>
        <v>Estudiar el convenio 370 del 2015 suscrito con el Ministerio de Transporte  y adelantar las gestiones que correspondan para que se amplíen los criterios de acceso a la información a la plataforma del RUNT</v>
      </c>
      <c r="BJ37" s="810">
        <v>0</v>
      </c>
      <c r="BK37" s="1066" t="s">
        <v>204</v>
      </c>
      <c r="BL37" s="1072">
        <v>0</v>
      </c>
      <c r="BM37" s="805" t="e">
        <f t="shared" si="61"/>
        <v>#VALUE!</v>
      </c>
      <c r="BN37" s="805" t="e">
        <f t="shared" si="62"/>
        <v>#DIV/0!</v>
      </c>
      <c r="BO37" s="805" t="e">
        <f t="shared" si="63"/>
        <v>#VALUE!</v>
      </c>
      <c r="BP37" s="805" t="e">
        <f t="shared" si="64"/>
        <v>#DIV/0!</v>
      </c>
      <c r="BQ37" s="65" t="s">
        <v>2020</v>
      </c>
      <c r="BR37" s="151" t="str">
        <f t="shared" si="65"/>
        <v>No Prog ni Ejec</v>
      </c>
      <c r="BS37" s="151" t="str">
        <f t="shared" si="66"/>
        <v>No Prog ni Ejec</v>
      </c>
      <c r="BT37" s="151" t="str">
        <f t="shared" si="67"/>
        <v>No Prog ni Ejec</v>
      </c>
      <c r="BU37" s="151" t="str">
        <f t="shared" si="68"/>
        <v>No Prog ni Ejec</v>
      </c>
      <c r="BV37" s="151" t="str">
        <f t="shared" si="69"/>
        <v>No Prog ni Ejec</v>
      </c>
      <c r="BW37" s="151" t="str">
        <f t="shared" si="70"/>
        <v>No Prog ni Ejec</v>
      </c>
      <c r="BX37" s="151" t="e">
        <f t="shared" si="71"/>
        <v>#VALUE!</v>
      </c>
      <c r="BY37" s="686" t="str">
        <f t="shared" si="72"/>
        <v>No Prog ni Ejec</v>
      </c>
      <c r="BZ37" s="148">
        <f t="shared" si="1"/>
        <v>0</v>
      </c>
    </row>
    <row r="38" spans="1:78" s="77" customFormat="1" ht="140.25" customHeight="1" thickBot="1" x14ac:dyDescent="0.25">
      <c r="A38" s="716">
        <v>11900</v>
      </c>
      <c r="B38" s="692" t="s">
        <v>125</v>
      </c>
      <c r="C38" s="692" t="s">
        <v>330</v>
      </c>
      <c r="D38" s="717" t="s">
        <v>1017</v>
      </c>
      <c r="E38" s="717"/>
      <c r="F38" s="718" t="s">
        <v>126</v>
      </c>
      <c r="G38" s="692" t="s">
        <v>60</v>
      </c>
      <c r="H38" s="876" t="s">
        <v>128</v>
      </c>
      <c r="I38" s="692" t="s">
        <v>342</v>
      </c>
      <c r="J38" s="718" t="s">
        <v>647</v>
      </c>
      <c r="K38" s="692" t="s">
        <v>499</v>
      </c>
      <c r="L38" s="719" t="s">
        <v>390</v>
      </c>
      <c r="M38" s="863">
        <v>1</v>
      </c>
      <c r="N38" s="718" t="s">
        <v>646</v>
      </c>
      <c r="O38" s="692" t="s">
        <v>1586</v>
      </c>
      <c r="P38" s="721">
        <v>0</v>
      </c>
      <c r="Q38" s="691">
        <v>1</v>
      </c>
      <c r="R38" s="692" t="s">
        <v>18</v>
      </c>
      <c r="S38" s="692" t="s">
        <v>24</v>
      </c>
      <c r="T38" s="692" t="s">
        <v>629</v>
      </c>
      <c r="U38" s="692" t="s">
        <v>632</v>
      </c>
      <c r="V38" s="692" t="s">
        <v>1042</v>
      </c>
      <c r="W38" s="692" t="s">
        <v>1266</v>
      </c>
      <c r="X38" s="692" t="s">
        <v>899</v>
      </c>
      <c r="Y38" s="692" t="s">
        <v>204</v>
      </c>
      <c r="Z38" s="863">
        <v>1</v>
      </c>
      <c r="AA38" s="877" t="str">
        <f t="shared" si="73"/>
        <v>Adelantar acercamientos con entidades del estado tales como la RNEC en aras de acceder a la información de los terceros deudores</v>
      </c>
      <c r="AB38" s="878">
        <f t="shared" si="74"/>
        <v>0</v>
      </c>
      <c r="AC38" s="720" t="s">
        <v>48</v>
      </c>
      <c r="AD38" s="863">
        <v>0</v>
      </c>
      <c r="AE38" s="692" t="str">
        <f t="shared" si="41"/>
        <v>Adelantar acercamientos con entidades del estado tales como la RNEC en aras de acceder a la información de los terceros deudores</v>
      </c>
      <c r="AF38" s="721">
        <v>0</v>
      </c>
      <c r="AG38" s="879">
        <v>0</v>
      </c>
      <c r="AH38" s="879">
        <v>0</v>
      </c>
      <c r="AI38" s="723" t="e">
        <f t="shared" si="43"/>
        <v>#DIV/0!</v>
      </c>
      <c r="AJ38" s="723" t="e">
        <f t="shared" si="44"/>
        <v>#DIV/0!</v>
      </c>
      <c r="AK38" s="723">
        <f t="shared" si="45"/>
        <v>0</v>
      </c>
      <c r="AL38" s="723" t="e">
        <f t="shared" si="46"/>
        <v>#DIV/0!</v>
      </c>
      <c r="AM38" s="880" t="s">
        <v>1331</v>
      </c>
      <c r="AN38" s="863">
        <v>0</v>
      </c>
      <c r="AO38" s="692" t="str">
        <f t="shared" si="47"/>
        <v>Adelantar acercamientos con entidades del estado tales como la RNEC en aras de acceder a la información de los terceros deudores</v>
      </c>
      <c r="AP38" s="721">
        <v>0</v>
      </c>
      <c r="AQ38" s="719">
        <v>0</v>
      </c>
      <c r="AR38" s="721">
        <v>0</v>
      </c>
      <c r="AS38" s="723" t="e">
        <f t="shared" si="49"/>
        <v>#DIV/0!</v>
      </c>
      <c r="AT38" s="723" t="e">
        <f t="shared" si="50"/>
        <v>#DIV/0!</v>
      </c>
      <c r="AU38" s="723">
        <f t="shared" si="51"/>
        <v>0</v>
      </c>
      <c r="AV38" s="723" t="e">
        <f t="shared" si="52"/>
        <v>#DIV/0!</v>
      </c>
      <c r="AW38" s="881" t="s">
        <v>1331</v>
      </c>
      <c r="AX38" s="863">
        <v>0</v>
      </c>
      <c r="AY38" s="692" t="str">
        <f t="shared" si="53"/>
        <v>Adelantar acercamientos con entidades del estado tales como la RNEC en aras de acceder a la información de los terceros deudores</v>
      </c>
      <c r="AZ38" s="721">
        <v>0</v>
      </c>
      <c r="BA38" s="876">
        <v>0</v>
      </c>
      <c r="BB38" s="744">
        <v>0</v>
      </c>
      <c r="BC38" s="723" t="e">
        <f t="shared" si="55"/>
        <v>#DIV/0!</v>
      </c>
      <c r="BD38" s="723" t="e">
        <f t="shared" si="56"/>
        <v>#DIV/0!</v>
      </c>
      <c r="BE38" s="723">
        <f t="shared" si="57"/>
        <v>0</v>
      </c>
      <c r="BF38" s="723" t="e">
        <f t="shared" si="58"/>
        <v>#DIV/0!</v>
      </c>
      <c r="BG38" s="723"/>
      <c r="BH38" s="863">
        <v>1</v>
      </c>
      <c r="BI38" s="692" t="str">
        <f t="shared" si="59"/>
        <v>Adelantar acercamientos con entidades del estado tales como la RNEC en aras de acceder a la información de los terceros deudores</v>
      </c>
      <c r="BJ38" s="721">
        <v>0</v>
      </c>
      <c r="BK38" s="876">
        <v>1</v>
      </c>
      <c r="BL38" s="744">
        <v>0</v>
      </c>
      <c r="BM38" s="724">
        <f t="shared" si="61"/>
        <v>1</v>
      </c>
      <c r="BN38" s="724" t="e">
        <f t="shared" si="62"/>
        <v>#DIV/0!</v>
      </c>
      <c r="BO38" s="724">
        <f t="shared" si="63"/>
        <v>1</v>
      </c>
      <c r="BP38" s="724" t="e">
        <f t="shared" si="64"/>
        <v>#DIV/0!</v>
      </c>
      <c r="BQ38" s="1107" t="s">
        <v>2021</v>
      </c>
      <c r="BR38" s="693" t="str">
        <f t="shared" si="65"/>
        <v>No Prog ni Ejec</v>
      </c>
      <c r="BS38" s="693" t="str">
        <f t="shared" si="66"/>
        <v>No Prog ni Ejec</v>
      </c>
      <c r="BT38" s="693" t="str">
        <f t="shared" si="67"/>
        <v>No Prog ni Ejec</v>
      </c>
      <c r="BU38" s="693" t="str">
        <f t="shared" si="68"/>
        <v>No Prog ni Ejec</v>
      </c>
      <c r="BV38" s="693" t="str">
        <f t="shared" si="69"/>
        <v>No Prog ni Ejec</v>
      </c>
      <c r="BW38" s="693" t="str">
        <f t="shared" si="70"/>
        <v>No Prog ni Ejec</v>
      </c>
      <c r="BX38" s="693">
        <f t="shared" si="71"/>
        <v>1</v>
      </c>
      <c r="BY38" s="694" t="str">
        <f t="shared" si="72"/>
        <v>No Prog ni Ejec</v>
      </c>
      <c r="BZ38" s="148">
        <f t="shared" si="1"/>
        <v>0</v>
      </c>
    </row>
    <row r="39" spans="1:78" s="77" customFormat="1" ht="12.75" x14ac:dyDescent="0.2">
      <c r="A39" s="69"/>
      <c r="B39" s="69"/>
      <c r="C39" s="882"/>
      <c r="D39" s="882"/>
      <c r="E39" s="882"/>
      <c r="F39" s="69"/>
      <c r="G39" s="69"/>
      <c r="H39" s="69"/>
      <c r="I39" s="69"/>
      <c r="J39" s="69"/>
      <c r="K39" s="69"/>
      <c r="L39" s="882"/>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row>
    <row r="40" spans="1:78" s="77" customFormat="1" ht="38.25" customHeight="1" x14ac:dyDescent="0.2">
      <c r="A40" s="1277" t="s">
        <v>2104</v>
      </c>
      <c r="B40" s="1277"/>
      <c r="C40" s="1277"/>
      <c r="D40" s="1277"/>
      <c r="E40" s="1277"/>
      <c r="F40" s="1277"/>
      <c r="G40" s="1277"/>
      <c r="H40" s="1277"/>
      <c r="I40" s="1277"/>
      <c r="J40" s="1277"/>
      <c r="K40" s="1277"/>
      <c r="L40" s="1277"/>
      <c r="M40" s="1277"/>
      <c r="N40" s="1277"/>
      <c r="O40" s="883"/>
      <c r="P40" s="884"/>
      <c r="Q40" s="883"/>
      <c r="R40" s="883"/>
      <c r="S40" s="883"/>
      <c r="T40" s="883"/>
      <c r="U40" s="883"/>
      <c r="V40" s="883"/>
      <c r="W40" s="883"/>
      <c r="X40" s="883"/>
      <c r="Y40" s="883"/>
      <c r="Z40" s="883"/>
      <c r="AA40" s="883"/>
      <c r="AB40" s="883"/>
      <c r="AC40" s="883"/>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8" s="77" customFormat="1" ht="12.75" x14ac:dyDescent="0.2">
      <c r="A41" s="22"/>
      <c r="B41" s="22"/>
      <c r="C41" s="135"/>
      <c r="D41" s="135"/>
      <c r="E41" s="135"/>
      <c r="F41" s="22"/>
      <c r="G41" s="22"/>
      <c r="H41" s="22"/>
      <c r="I41" s="22"/>
      <c r="J41" s="22"/>
      <c r="K41" s="22"/>
      <c r="L41" s="135"/>
      <c r="M41" s="22"/>
      <c r="N41" s="22"/>
      <c r="O41" s="22"/>
      <c r="P41" s="22"/>
      <c r="Q41" s="22"/>
      <c r="R41" s="22"/>
      <c r="S41" s="22"/>
      <c r="T41" s="22"/>
      <c r="U41" s="22"/>
      <c r="V41" s="22"/>
      <c r="W41" s="22"/>
      <c r="X41" s="22"/>
      <c r="Y41" s="22"/>
      <c r="Z41" s="22"/>
      <c r="AA41" s="22"/>
      <c r="AB41" s="149"/>
      <c r="AC41" s="22"/>
    </row>
    <row r="42" spans="1:78" s="77" customFormat="1" ht="12.75" x14ac:dyDescent="0.2">
      <c r="A42" s="22"/>
      <c r="B42" s="22"/>
      <c r="C42" s="135"/>
      <c r="D42" s="135"/>
      <c r="E42" s="135"/>
      <c r="F42" s="22"/>
      <c r="G42" s="22"/>
      <c r="H42" s="22"/>
      <c r="I42" s="22"/>
      <c r="J42" s="22"/>
      <c r="K42" s="22"/>
      <c r="L42" s="135"/>
      <c r="M42" s="22"/>
      <c r="N42" s="22"/>
      <c r="O42" s="22"/>
      <c r="P42" s="22"/>
      <c r="Q42" s="22"/>
      <c r="R42" s="22"/>
      <c r="S42" s="22"/>
      <c r="T42" s="22"/>
      <c r="U42" s="22"/>
      <c r="V42" s="22"/>
      <c r="W42" s="22"/>
      <c r="X42" s="22"/>
      <c r="Y42" s="22"/>
      <c r="Z42" s="22"/>
      <c r="AA42" s="22"/>
      <c r="AB42" s="22"/>
      <c r="AC42" s="22"/>
    </row>
    <row r="43" spans="1:78" s="77" customFormat="1" ht="12.75" x14ac:dyDescent="0.2">
      <c r="A43" s="22"/>
      <c r="B43" s="22"/>
      <c r="C43" s="135"/>
      <c r="D43" s="135"/>
      <c r="E43" s="135"/>
      <c r="F43" s="22"/>
      <c r="G43" s="22"/>
      <c r="H43" s="22"/>
      <c r="I43" s="22"/>
      <c r="J43" s="22"/>
      <c r="K43" s="22"/>
      <c r="L43" s="135"/>
      <c r="M43" s="22"/>
      <c r="N43" s="22"/>
      <c r="O43" s="22"/>
      <c r="P43" s="22"/>
      <c r="Q43" s="22"/>
      <c r="R43" s="22"/>
      <c r="S43" s="22"/>
      <c r="T43" s="22"/>
      <c r="U43" s="22"/>
      <c r="V43" s="22"/>
      <c r="W43" s="22"/>
      <c r="X43" s="22"/>
      <c r="Y43" s="22"/>
      <c r="Z43" s="22"/>
      <c r="AA43" s="22"/>
      <c r="AB43" s="22"/>
      <c r="AC43" s="22"/>
    </row>
    <row r="44" spans="1:78" s="77" customFormat="1" ht="12.75" x14ac:dyDescent="0.2">
      <c r="A44" s="22"/>
      <c r="B44" s="22"/>
      <c r="C44" s="135"/>
      <c r="D44" s="135"/>
      <c r="E44" s="135"/>
      <c r="F44" s="22"/>
      <c r="G44" s="22"/>
      <c r="H44" s="22"/>
      <c r="I44" s="22"/>
      <c r="J44" s="22"/>
      <c r="K44" s="22"/>
      <c r="L44" s="135"/>
      <c r="M44" s="22"/>
      <c r="N44" s="22"/>
      <c r="O44" s="22"/>
      <c r="P44" s="22"/>
      <c r="Q44" s="22"/>
      <c r="R44" s="22"/>
      <c r="S44" s="22"/>
      <c r="T44" s="22"/>
      <c r="U44" s="22"/>
      <c r="V44" s="22"/>
      <c r="W44" s="22"/>
      <c r="X44" s="22"/>
      <c r="Y44" s="22"/>
      <c r="Z44" s="22"/>
      <c r="AA44" s="22"/>
      <c r="AB44" s="22"/>
      <c r="AC44" s="22"/>
    </row>
    <row r="45" spans="1:78" s="77" customFormat="1" ht="12.75" x14ac:dyDescent="0.2">
      <c r="A45" s="22"/>
      <c r="B45" s="22"/>
      <c r="C45" s="135"/>
      <c r="D45" s="135"/>
      <c r="E45" s="135"/>
      <c r="F45" s="22"/>
      <c r="G45" s="22"/>
      <c r="H45" s="22"/>
      <c r="I45" s="22"/>
      <c r="J45" s="22"/>
      <c r="K45" s="22"/>
      <c r="L45" s="135"/>
      <c r="M45" s="22"/>
      <c r="N45" s="22"/>
      <c r="O45" s="22"/>
      <c r="P45" s="22"/>
      <c r="Q45" s="22"/>
      <c r="R45" s="22"/>
      <c r="S45" s="22"/>
      <c r="T45" s="22"/>
      <c r="U45" s="22"/>
      <c r="V45" s="22"/>
      <c r="W45" s="22"/>
      <c r="X45" s="22"/>
      <c r="Y45" s="22"/>
      <c r="Z45" s="22"/>
      <c r="AA45" s="22"/>
      <c r="AB45" s="22"/>
      <c r="AC45" s="22"/>
    </row>
  </sheetData>
  <sheetProtection algorithmName="SHA-512" hashValue="p0Iq/ZTgeV+AR0FuiN8c5dq/FAqnVZmWQw+O678oVqOthwSX5Zrx0owkzcWcQ/9/Y4VNKtNLE0Ulq0S5Dugxmw==" saltValue="I76a0vLmk9Jox3YmPitF3Q==" spinCount="100000" sheet="1" objects="1" scenarios="1"/>
  <autoFilter ref="A8:HU38" xr:uid="{00000000-0009-0000-0000-000002000000}"/>
  <mergeCells count="155">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D9:BD13"/>
    <mergeCell ref="BF9:BF13"/>
    <mergeCell ref="AC7:AC8"/>
    <mergeCell ref="BB11:BB13"/>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Q22:BQ23"/>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BG22:BG23"/>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A21:A24"/>
    <mergeCell ref="C21:C24"/>
    <mergeCell ref="F21:F24"/>
    <mergeCell ref="G21:G24"/>
    <mergeCell ref="H21:H24"/>
    <mergeCell ref="N21:N24"/>
    <mergeCell ref="O9:O12"/>
    <mergeCell ref="I21:I24"/>
    <mergeCell ref="M22:M23"/>
    <mergeCell ref="L22:L23"/>
    <mergeCell ref="N9:N12"/>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s>
  <conditionalFormatting sqref="BR26:BY38">
    <cfRule type="cellIs" dxfId="13407" priority="73" operator="equal">
      <formula>#REF!</formula>
    </cfRule>
    <cfRule type="cellIs" dxfId="13406" priority="74" operator="greaterThan">
      <formula>1</formula>
    </cfRule>
    <cfRule type="cellIs" dxfId="13405" priority="75" operator="equal">
      <formula>100%</formula>
    </cfRule>
    <cfRule type="cellIs" dxfId="13404" priority="76" operator="between">
      <formula>80%</formula>
      <formula>99%</formula>
    </cfRule>
    <cfRule type="cellIs" dxfId="13403" priority="77" operator="between">
      <formula>0%</formula>
      <formula>79%</formula>
    </cfRule>
  </conditionalFormatting>
  <conditionalFormatting sqref="BR25:BY25">
    <cfRule type="cellIs" dxfId="13402" priority="67" operator="equal">
      <formula>#REF!</formula>
    </cfRule>
    <cfRule type="cellIs" dxfId="13401" priority="68" operator="greaterThan">
      <formula>1</formula>
    </cfRule>
    <cfRule type="cellIs" dxfId="13400" priority="69" operator="equal">
      <formula>100%</formula>
    </cfRule>
    <cfRule type="cellIs" dxfId="13399" priority="70" operator="between">
      <formula>80%</formula>
      <formula>99%</formula>
    </cfRule>
    <cfRule type="cellIs" dxfId="13398" priority="71" operator="between">
      <formula>0%</formula>
      <formula>79%</formula>
    </cfRule>
  </conditionalFormatting>
  <conditionalFormatting sqref="BR18:BY20">
    <cfRule type="cellIs" dxfId="13397" priority="61" operator="equal">
      <formula>#REF!</formula>
    </cfRule>
    <cfRule type="cellIs" dxfId="13396" priority="62" operator="greaterThan">
      <formula>1</formula>
    </cfRule>
    <cfRule type="cellIs" dxfId="13395" priority="63" operator="equal">
      <formula>100%</formula>
    </cfRule>
    <cfRule type="cellIs" dxfId="13394" priority="64" operator="between">
      <formula>80%</formula>
      <formula>99%</formula>
    </cfRule>
    <cfRule type="cellIs" dxfId="13393" priority="65" operator="between">
      <formula>0%</formula>
      <formula>79%</formula>
    </cfRule>
  </conditionalFormatting>
  <conditionalFormatting sqref="BR14:BY14 BR16:BY17">
    <cfRule type="cellIs" dxfId="13392" priority="43" operator="equal">
      <formula>#REF!</formula>
    </cfRule>
    <cfRule type="cellIs" dxfId="13391" priority="44" operator="greaterThan">
      <formula>1</formula>
    </cfRule>
    <cfRule type="cellIs" dxfId="13390" priority="45" operator="equal">
      <formula>100%</formula>
    </cfRule>
    <cfRule type="cellIs" dxfId="13389" priority="46" operator="between">
      <formula>80%</formula>
      <formula>99%</formula>
    </cfRule>
    <cfRule type="cellIs" dxfId="13388" priority="47" operator="between">
      <formula>0%</formula>
      <formula>79%</formula>
    </cfRule>
  </conditionalFormatting>
  <conditionalFormatting sqref="BR15:BY15">
    <cfRule type="cellIs" dxfId="13387" priority="31" operator="equal">
      <formula>#REF!</formula>
    </cfRule>
    <cfRule type="cellIs" dxfId="13386" priority="32" operator="greaterThan">
      <formula>1</formula>
    </cfRule>
    <cfRule type="cellIs" dxfId="13385" priority="33" operator="equal">
      <formula>100%</formula>
    </cfRule>
    <cfRule type="cellIs" dxfId="13384" priority="34" operator="between">
      <formula>80%</formula>
      <formula>99%</formula>
    </cfRule>
    <cfRule type="cellIs" dxfId="13383" priority="35" operator="between">
      <formula>0%</formula>
      <formula>79%</formula>
    </cfRule>
  </conditionalFormatting>
  <conditionalFormatting sqref="BR12 BT12 BV12 BX12">
    <cfRule type="cellIs" dxfId="13382" priority="25" operator="equal">
      <formula>#REF!</formula>
    </cfRule>
    <cfRule type="cellIs" dxfId="13381" priority="26" operator="greaterThan">
      <formula>1</formula>
    </cfRule>
    <cfRule type="cellIs" dxfId="13380" priority="27" operator="equal">
      <formula>100%</formula>
    </cfRule>
    <cfRule type="cellIs" dxfId="13379" priority="28" operator="between">
      <formula>80%</formula>
      <formula>99%</formula>
    </cfRule>
    <cfRule type="cellIs" dxfId="13378" priority="29" operator="between">
      <formula>0%</formula>
      <formula>79%</formula>
    </cfRule>
  </conditionalFormatting>
  <conditionalFormatting sqref="BR9:BY11">
    <cfRule type="cellIs" dxfId="13377" priority="19" operator="equal">
      <formula>#REF!</formula>
    </cfRule>
    <cfRule type="cellIs" dxfId="13376" priority="20" operator="greaterThan">
      <formula>1</formula>
    </cfRule>
    <cfRule type="cellIs" dxfId="13375" priority="21" operator="equal">
      <formula>100%</formula>
    </cfRule>
    <cfRule type="cellIs" dxfId="13374" priority="22" operator="between">
      <formula>80%</formula>
      <formula>99%</formula>
    </cfRule>
    <cfRule type="cellIs" dxfId="13373" priority="23" operator="between">
      <formula>0%</formula>
      <formula>79%</formula>
    </cfRule>
  </conditionalFormatting>
  <conditionalFormatting sqref="BR21:BY21">
    <cfRule type="cellIs" dxfId="13372" priority="13" operator="equal">
      <formula>#REF!</formula>
    </cfRule>
    <cfRule type="cellIs" dxfId="13371" priority="14" operator="greaterThan">
      <formula>1</formula>
    </cfRule>
    <cfRule type="cellIs" dxfId="13370" priority="15" operator="equal">
      <formula>100%</formula>
    </cfRule>
    <cfRule type="cellIs" dxfId="13369" priority="16" operator="between">
      <formula>80%</formula>
      <formula>99%</formula>
    </cfRule>
    <cfRule type="cellIs" dxfId="13368" priority="17" operator="between">
      <formula>0%</formula>
      <formula>79%</formula>
    </cfRule>
  </conditionalFormatting>
  <conditionalFormatting sqref="BR22 BR24 BT22 BT24 BV22 BV24 BX22 BX24">
    <cfRule type="cellIs" dxfId="13367" priority="7" operator="equal">
      <formula>#REF!</formula>
    </cfRule>
    <cfRule type="cellIs" dxfId="13366" priority="8" operator="greaterThan">
      <formula>1</formula>
    </cfRule>
    <cfRule type="cellIs" dxfId="13365" priority="9" operator="equal">
      <formula>100%</formula>
    </cfRule>
    <cfRule type="cellIs" dxfId="13364" priority="10" operator="between">
      <formula>80%</formula>
      <formula>99%</formula>
    </cfRule>
    <cfRule type="cellIs" dxfId="13363" priority="11" operator="between">
      <formula>0%</formula>
      <formula>79%</formula>
    </cfRule>
  </conditionalFormatting>
  <conditionalFormatting sqref="BR13 BT13 BV13 BX13">
    <cfRule type="cellIs" dxfId="13362" priority="1" operator="equal">
      <formula>#REF!</formula>
    </cfRule>
    <cfRule type="cellIs" dxfId="13361" priority="2" operator="greaterThan">
      <formula>1</formula>
    </cfRule>
    <cfRule type="cellIs" dxfId="13360" priority="3" operator="equal">
      <formula>100%</formula>
    </cfRule>
    <cfRule type="cellIs" dxfId="13359" priority="4" operator="between">
      <formula>80%</formula>
      <formula>99%</formula>
    </cfRule>
    <cfRule type="cellIs" dxfId="13358"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AW7" sqref="AW7"/>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customWidth="1"/>
    <col min="30" max="34" width="3.28515625" customWidth="1"/>
    <col min="35" max="35" width="15.85546875" customWidth="1"/>
    <col min="36" max="40" width="3.28515625" customWidth="1"/>
    <col min="41" max="41" width="2.85546875" customWidth="1"/>
    <col min="42" max="42" width="11.7109375" customWidth="1"/>
    <col min="43" max="47" width="3.28515625" customWidth="1"/>
    <col min="48" max="48" width="14.42578125" customWidth="1"/>
    <col min="49" max="53" width="3.28515625" customWidth="1"/>
  </cols>
  <sheetData>
    <row r="1" spans="1:53" ht="25.5"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38"/>
      <c r="AP1" s="1609"/>
      <c r="AQ1" s="1610"/>
      <c r="AR1" s="1610"/>
      <c r="AS1" s="1610"/>
      <c r="AT1" s="1610"/>
      <c r="AU1" s="1610"/>
      <c r="AV1" s="1610"/>
      <c r="AW1" s="1610"/>
      <c r="AX1" s="1610"/>
      <c r="AY1" s="1610"/>
      <c r="AZ1" s="1610"/>
      <c r="BA1" s="1611"/>
    </row>
    <row r="2" spans="1:53" ht="29.2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3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223</v>
      </c>
      <c r="P3" s="1622"/>
      <c r="Q3" s="1622"/>
      <c r="R3" s="1622"/>
      <c r="S3" s="1622"/>
      <c r="T3" s="1622"/>
      <c r="U3" s="1622"/>
      <c r="V3" s="1622"/>
      <c r="W3" s="1622"/>
      <c r="X3" s="1622"/>
      <c r="Y3" s="1622"/>
      <c r="Z3" s="1622"/>
      <c r="AA3" s="1622"/>
      <c r="AB3" s="1622"/>
      <c r="AC3" s="1622"/>
      <c r="AD3" s="1622"/>
      <c r="AE3" s="1622"/>
      <c r="AF3" s="1622"/>
      <c r="AG3" s="1622"/>
      <c r="AH3" s="1623"/>
      <c r="AI3" s="320" t="s">
        <v>249</v>
      </c>
      <c r="AJ3" s="1570">
        <v>1</v>
      </c>
      <c r="AK3" s="1573"/>
      <c r="AL3" s="1573"/>
      <c r="AM3" s="1573"/>
      <c r="AN3" s="1573"/>
      <c r="AO3" s="1640"/>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232</v>
      </c>
      <c r="B5" s="419"/>
      <c r="C5" s="1629" t="s">
        <v>1188</v>
      </c>
      <c r="D5" s="1636"/>
      <c r="E5" s="1636"/>
      <c r="F5" s="1636"/>
      <c r="G5" s="1636"/>
      <c r="H5" s="1637"/>
      <c r="I5" s="1632" t="s">
        <v>1189</v>
      </c>
      <c r="J5" s="1628"/>
      <c r="K5" s="1628"/>
      <c r="L5" s="1628"/>
      <c r="M5" s="1628"/>
      <c r="N5" s="1628"/>
      <c r="O5" s="17"/>
      <c r="P5" s="1632" t="s">
        <v>1191</v>
      </c>
      <c r="Q5" s="1628"/>
      <c r="R5" s="1628"/>
      <c r="S5" s="1628"/>
      <c r="T5" s="1628"/>
      <c r="U5" s="1641"/>
      <c r="V5" s="1627" t="s">
        <v>1192</v>
      </c>
      <c r="W5" s="1628"/>
      <c r="X5" s="1628"/>
      <c r="Y5" s="1628"/>
      <c r="Z5" s="1628"/>
      <c r="AA5" s="1628"/>
      <c r="AB5" s="420"/>
      <c r="AC5" s="1632" t="s">
        <v>1193</v>
      </c>
      <c r="AD5" s="1628"/>
      <c r="AE5" s="1628"/>
      <c r="AF5" s="1628"/>
      <c r="AG5" s="1628"/>
      <c r="AH5" s="1641"/>
      <c r="AI5" s="1627" t="s">
        <v>1194</v>
      </c>
      <c r="AJ5" s="1628"/>
      <c r="AK5" s="1628"/>
      <c r="AL5" s="1628"/>
      <c r="AM5" s="1628"/>
      <c r="AN5" s="1628"/>
      <c r="AO5" s="420"/>
      <c r="AP5" s="1632" t="s">
        <v>1195</v>
      </c>
      <c r="AQ5" s="1628"/>
      <c r="AR5" s="1628"/>
      <c r="AS5" s="1628"/>
      <c r="AT5" s="1628"/>
      <c r="AU5" s="1641"/>
      <c r="AV5" s="1627" t="s">
        <v>1196</v>
      </c>
      <c r="AW5" s="1628"/>
      <c r="AX5" s="1628"/>
      <c r="AY5" s="1628"/>
      <c r="AZ5" s="1628"/>
      <c r="BA5" s="1628"/>
    </row>
    <row r="6" spans="1:53" ht="18" x14ac:dyDescent="0.25">
      <c r="A6" s="415" t="s">
        <v>1</v>
      </c>
      <c r="B6" s="421"/>
      <c r="C6" s="422">
        <f>AVERAGE('Cuadro Mando Integral Detallado'!L172:L181,'Cuadro Mando Integral Detallado'!L238:L241,'Cuadro Mando Integral Detallado'!L360)</f>
        <v>0.73806078147612153</v>
      </c>
      <c r="D6" s="507">
        <f t="shared" ref="D6:D14" si="0">+C6</f>
        <v>0.73806078147612153</v>
      </c>
      <c r="E6" s="499">
        <f t="shared" ref="E6:E14" si="1">+C6</f>
        <v>0.73806078147612153</v>
      </c>
      <c r="F6" s="499">
        <f t="shared" ref="F6:F14" si="2">+C6</f>
        <v>0.73806078147612153</v>
      </c>
      <c r="G6" s="499">
        <f t="shared" ref="G6:G14" si="3">+C6</f>
        <v>0.73806078147612153</v>
      </c>
      <c r="H6" s="508">
        <f t="shared" ref="H6:H14" si="4">+C6</f>
        <v>0.73806078147612153</v>
      </c>
      <c r="I6" s="422">
        <f>AVERAGE('Cuadro Mando Integral Detallado'!O172:O181,'Cuadro Mando Integral Detallado'!O238:O241,'Cuadro Mando Integral Detallado'!O360)</f>
        <v>0.18451519536903038</v>
      </c>
      <c r="J6" s="493">
        <f t="shared" ref="J6:J14" si="5">+I6</f>
        <v>0.18451519536903038</v>
      </c>
      <c r="K6" s="494">
        <f t="shared" ref="K6:K14" si="6">+I6</f>
        <v>0.18451519536903038</v>
      </c>
      <c r="L6" s="494">
        <f t="shared" ref="L6:L14" si="7">+I6</f>
        <v>0.18451519536903038</v>
      </c>
      <c r="M6" s="494">
        <f t="shared" ref="M6:M14" si="8">+I6</f>
        <v>0.18451519536903038</v>
      </c>
      <c r="N6" s="495">
        <f t="shared" ref="N6:N14" si="9">+I6</f>
        <v>0.18451519536903038</v>
      </c>
      <c r="O6" s="17"/>
      <c r="P6" s="422">
        <f>AVERAGE('Cuadro Mando Integral Detallado'!S172:S181,'Cuadro Mando Integral Detallado'!S238:S243)</f>
        <v>1</v>
      </c>
      <c r="Q6" s="368">
        <f t="shared" ref="Q6:Q14" si="10">+P6</f>
        <v>1</v>
      </c>
      <c r="R6" s="358">
        <f t="shared" ref="R6:R14" si="11">+P6</f>
        <v>1</v>
      </c>
      <c r="S6" s="358">
        <f t="shared" ref="S6:S14" si="12">+P6</f>
        <v>1</v>
      </c>
      <c r="T6" s="358">
        <f t="shared" ref="T6:T14" si="13">+P6</f>
        <v>1</v>
      </c>
      <c r="U6" s="359">
        <f t="shared" ref="U6:U14" si="14">+P6</f>
        <v>1</v>
      </c>
      <c r="V6" s="422">
        <f>AVERAGE('Cuadro Mando Integral Detallado'!V172:V181,'Cuadro Mando Integral Detallado'!V238:V243)</f>
        <v>0.43005306319343944</v>
      </c>
      <c r="W6" s="361">
        <f t="shared" ref="W6:W14" si="15">+V6</f>
        <v>0.43005306319343944</v>
      </c>
      <c r="X6" s="362">
        <f t="shared" ref="X6:X14" si="16">+V6</f>
        <v>0.43005306319343944</v>
      </c>
      <c r="Y6" s="362">
        <f t="shared" ref="Y6:Y14" si="17">+V6</f>
        <v>0.43005306319343944</v>
      </c>
      <c r="Z6" s="362">
        <f t="shared" ref="Z6:Z14" si="18">+V6</f>
        <v>0.43005306319343944</v>
      </c>
      <c r="AA6" s="363">
        <f t="shared" ref="AA6:AA13" si="19">+V6</f>
        <v>0.43005306319343944</v>
      </c>
      <c r="AB6" s="409"/>
      <c r="AC6" s="938">
        <f>AVERAGE('Cuadro Mando Integral Detallado'!Z172:Z181,'Cuadro Mando Integral Detallado'!Z238:Z243)</f>
        <v>0.81818181818181823</v>
      </c>
      <c r="AD6" s="368">
        <f t="shared" ref="AD6:AD14" si="20">+AC6</f>
        <v>0.81818181818181823</v>
      </c>
      <c r="AE6" s="358">
        <f t="shared" ref="AE6:AE14" si="21">+AC6</f>
        <v>0.81818181818181823</v>
      </c>
      <c r="AF6" s="358">
        <f t="shared" ref="AF6:AF14" si="22">+AC6</f>
        <v>0.81818181818181823</v>
      </c>
      <c r="AG6" s="358">
        <f t="shared" ref="AG6:AG14" si="23">+AC6</f>
        <v>0.81818181818181823</v>
      </c>
      <c r="AH6" s="359">
        <f t="shared" ref="AH6:AH14" si="24">+AC6</f>
        <v>0.81818181818181823</v>
      </c>
      <c r="AI6" s="994">
        <f>AVERAGE('Cuadro Mando Integral Detallado'!AC172:AC181,'Cuadro Mando Integral Detallado'!AC238:AC243)</f>
        <v>0.71279546550892425</v>
      </c>
      <c r="AJ6" s="382">
        <f t="shared" ref="AJ6" si="25">+AI6</f>
        <v>0.71279546550892425</v>
      </c>
      <c r="AK6" s="377">
        <f t="shared" ref="AK6" si="26">+AI6</f>
        <v>0.71279546550892425</v>
      </c>
      <c r="AL6" s="377">
        <f t="shared" ref="AL6" si="27">+AI6</f>
        <v>0.71279546550892425</v>
      </c>
      <c r="AM6" s="377">
        <f t="shared" ref="AM6" si="28">+AI6</f>
        <v>0.71279546550892425</v>
      </c>
      <c r="AN6" s="378">
        <f t="shared" ref="AN6" si="29">+AI6</f>
        <v>0.71279546550892425</v>
      </c>
      <c r="AO6" s="409"/>
      <c r="AP6" s="422">
        <f>AVERAGE('Cuadro Mando Integral Detallado'!AG172:AG181,'Cuadro Mando Integral Detallado'!AG238:AG243)</f>
        <v>1</v>
      </c>
      <c r="AQ6" s="368">
        <f t="shared" ref="AQ6:AQ14" si="30">+AP6</f>
        <v>1</v>
      </c>
      <c r="AR6" s="358">
        <f t="shared" ref="AR6:AR14" si="31">+AP6</f>
        <v>1</v>
      </c>
      <c r="AS6" s="358">
        <f t="shared" ref="AS6:AS14" si="32">+AP6</f>
        <v>1</v>
      </c>
      <c r="AT6" s="358">
        <f t="shared" ref="AT6:AT14" si="33">+AP6</f>
        <v>1</v>
      </c>
      <c r="AU6" s="359">
        <f t="shared" ref="AU6:AU14" si="34">+AP6</f>
        <v>1</v>
      </c>
      <c r="AV6" s="422">
        <f>AVERAGE('Cuadro Mando Integral Detallado'!AI172:AI181,'Cuadro Mando Integral Detallado'!AI238:AI243)</f>
        <v>0.93239611329336369</v>
      </c>
      <c r="AW6" s="368">
        <f>+AV6</f>
        <v>0.93239611329336369</v>
      </c>
      <c r="AX6" s="362">
        <f t="shared" ref="AX6:AX13" si="35">+AV6</f>
        <v>0.93239611329336369</v>
      </c>
      <c r="AY6" s="362">
        <f t="shared" ref="AY6:AY14" si="36">+AV6</f>
        <v>0.93239611329336369</v>
      </c>
      <c r="AZ6" s="362">
        <f t="shared" ref="AZ6:AZ14" si="37">+AV6</f>
        <v>0.93239611329336369</v>
      </c>
      <c r="BA6" s="363">
        <f t="shared" ref="BA6:BA14" si="38">+AV6</f>
        <v>0.93239611329336369</v>
      </c>
    </row>
    <row r="7" spans="1:53" ht="36" x14ac:dyDescent="0.25">
      <c r="A7" s="370" t="s">
        <v>229</v>
      </c>
      <c r="B7" s="421"/>
      <c r="C7" s="423">
        <f>AVERAGE('Cuadro Mando Integral Detallado'!L163:L165,'Cuadro Mando Integral Detallado'!L221:L222,'Cuadro Mando Integral Detallado'!L244:L245)</f>
        <v>0.99987501698138848</v>
      </c>
      <c r="D7" s="382">
        <f t="shared" si="0"/>
        <v>0.99987501698138848</v>
      </c>
      <c r="E7" s="373">
        <f t="shared" si="1"/>
        <v>0.99987501698138848</v>
      </c>
      <c r="F7" s="373">
        <f t="shared" si="2"/>
        <v>0.99987501698138848</v>
      </c>
      <c r="G7" s="373">
        <f t="shared" si="3"/>
        <v>0.99987501698138848</v>
      </c>
      <c r="H7" s="374">
        <f t="shared" si="4"/>
        <v>0.99987501698138848</v>
      </c>
      <c r="I7" s="423">
        <f>AVERAGE('Cuadro Mando Integral Detallado'!O163:O165,'Cuadro Mando Integral Detallado'!O221:O222,'Cuadro Mando Integral Detallado'!O244:O245)</f>
        <v>0.24996875424534712</v>
      </c>
      <c r="J7" s="376">
        <f t="shared" si="5"/>
        <v>0.24996875424534712</v>
      </c>
      <c r="K7" s="377">
        <f t="shared" si="6"/>
        <v>0.24996875424534712</v>
      </c>
      <c r="L7" s="377">
        <f t="shared" si="7"/>
        <v>0.24996875424534712</v>
      </c>
      <c r="M7" s="377">
        <f t="shared" si="8"/>
        <v>0.24996875424534712</v>
      </c>
      <c r="N7" s="378">
        <f t="shared" si="9"/>
        <v>0.24996875424534712</v>
      </c>
      <c r="O7" s="11"/>
      <c r="P7" s="423">
        <f>AVERAGE('Cuadro Mando Integral Detallado'!S163:S165,'Cuadro Mando Integral Detallado'!S221:S222,'Cuadro Mando Integral Detallado'!S244:S245)</f>
        <v>0.99996602279870217</v>
      </c>
      <c r="Q7" s="382">
        <f t="shared" si="10"/>
        <v>0.99996602279870217</v>
      </c>
      <c r="R7" s="373">
        <f t="shared" si="11"/>
        <v>0.99996602279870217</v>
      </c>
      <c r="S7" s="373">
        <f t="shared" si="12"/>
        <v>0.99996602279870217</v>
      </c>
      <c r="T7" s="373">
        <f t="shared" si="13"/>
        <v>0.99996602279870217</v>
      </c>
      <c r="U7" s="374">
        <f t="shared" si="14"/>
        <v>0.99996602279870217</v>
      </c>
      <c r="V7" s="423">
        <f>AVERAGE('Cuadro Mando Integral Detallado'!V163:V165,'Cuadro Mando Integral Detallado'!V221:V222,'Cuadro Mando Integral Detallado'!V244:V245)</f>
        <v>0.47218768979302034</v>
      </c>
      <c r="W7" s="376">
        <f t="shared" si="15"/>
        <v>0.47218768979302034</v>
      </c>
      <c r="X7" s="377">
        <f t="shared" si="16"/>
        <v>0.47218768979302034</v>
      </c>
      <c r="Y7" s="377">
        <f t="shared" si="17"/>
        <v>0.47218768979302034</v>
      </c>
      <c r="Z7" s="377">
        <f t="shared" si="18"/>
        <v>0.47218768979302034</v>
      </c>
      <c r="AA7" s="378">
        <f t="shared" si="19"/>
        <v>0.47218768979302034</v>
      </c>
      <c r="AB7" s="409"/>
      <c r="AC7" s="423">
        <f>AVERAGE('Cuadro Mando Integral Detallado'!Z163:Z165,'Cuadro Mando Integral Detallado'!Z221:Z222,'Cuadro Mando Integral Detallado'!Z244:Z245)</f>
        <v>0.99996948511212536</v>
      </c>
      <c r="AD7" s="382">
        <f t="shared" si="20"/>
        <v>0.99996948511212536</v>
      </c>
      <c r="AE7" s="373">
        <f t="shared" si="21"/>
        <v>0.99996948511212536</v>
      </c>
      <c r="AF7" s="373">
        <f t="shared" si="22"/>
        <v>0.99996948511212536</v>
      </c>
      <c r="AG7" s="373">
        <f t="shared" si="23"/>
        <v>0.99996948511212536</v>
      </c>
      <c r="AH7" s="374">
        <f t="shared" si="24"/>
        <v>0.99996948511212536</v>
      </c>
      <c r="AI7" s="423">
        <f>AVERAGE('Cuadro Mando Integral Detallado'!AC163:AC165,'Cuadro Mando Integral Detallado'!AC221:AC222,'Cuadro Mando Integral Detallado'!AC244:AC245)</f>
        <v>0.70234372443395354</v>
      </c>
      <c r="AJ7" s="382">
        <f t="shared" ref="AJ7:AJ14" si="39">+AI7</f>
        <v>0.70234372443395354</v>
      </c>
      <c r="AK7" s="377">
        <f t="shared" ref="AK7:AK14" si="40">+AI7</f>
        <v>0.70234372443395354</v>
      </c>
      <c r="AL7" s="377">
        <f t="shared" ref="AL7:AL14" si="41">+AI7</f>
        <v>0.70234372443395354</v>
      </c>
      <c r="AM7" s="377">
        <f t="shared" ref="AM7:AM14" si="42">+AI7</f>
        <v>0.70234372443395354</v>
      </c>
      <c r="AN7" s="378">
        <f t="shared" ref="AN7:AN14" si="43">+AI7</f>
        <v>0.70234372443395354</v>
      </c>
      <c r="AO7" s="409"/>
      <c r="AP7" s="423">
        <f>AVERAGE('Cuadro Mando Integral Detallado'!AG163:AG165,'Cuadro Mando Integral Detallado'!AG221:AG222,'Cuadro Mando Integral Detallado'!AG244:AG245)</f>
        <v>0.99998268673706669</v>
      </c>
      <c r="AQ7" s="382">
        <f t="shared" si="30"/>
        <v>0.99998268673706669</v>
      </c>
      <c r="AR7" s="373">
        <f t="shared" si="31"/>
        <v>0.99998268673706669</v>
      </c>
      <c r="AS7" s="373">
        <f t="shared" si="32"/>
        <v>0.99998268673706669</v>
      </c>
      <c r="AT7" s="373">
        <f t="shared" si="33"/>
        <v>0.99998268673706669</v>
      </c>
      <c r="AU7" s="374">
        <f t="shared" si="34"/>
        <v>0.99998268673706669</v>
      </c>
      <c r="AV7" s="423">
        <f>AVERAGE('Cuadro Mando Integral Detallado'!AI163:AI165,'Cuadro Mando Integral Detallado'!AI221:AI222,'Cuadro Mando Integral Detallado'!AI244:AI245)</f>
        <v>0.99995844373726783</v>
      </c>
      <c r="AW7" s="382">
        <f t="shared" ref="AW7:AW14" si="44">+AV7</f>
        <v>0.99995844373726783</v>
      </c>
      <c r="AX7" s="377">
        <f t="shared" si="35"/>
        <v>0.99995844373726783</v>
      </c>
      <c r="AY7" s="377">
        <f t="shared" si="36"/>
        <v>0.99995844373726783</v>
      </c>
      <c r="AZ7" s="377">
        <f t="shared" si="37"/>
        <v>0.99995844373726783</v>
      </c>
      <c r="BA7" s="378">
        <f t="shared" si="38"/>
        <v>0.99995844373726783</v>
      </c>
    </row>
    <row r="8" spans="1:53" ht="36" x14ac:dyDescent="0.25">
      <c r="A8" s="370" t="s">
        <v>12</v>
      </c>
      <c r="B8" s="421"/>
      <c r="C8" s="423">
        <f>AVERAGE('Cuadro Mando Integral Detallado'!L148:L158,'Cuadro Mando Integral Detallado'!L205,'Cuadro Mando Integral Detallado'!L212:L214,'Cuadro Mando Integral Detallado'!L306)</f>
        <v>0.88721351785088942</v>
      </c>
      <c r="D8" s="382">
        <f>+C8</f>
        <v>0.88721351785088942</v>
      </c>
      <c r="E8" s="373">
        <f t="shared" si="1"/>
        <v>0.88721351785088942</v>
      </c>
      <c r="F8" s="373">
        <f t="shared" si="2"/>
        <v>0.88721351785088942</v>
      </c>
      <c r="G8" s="373">
        <f t="shared" si="3"/>
        <v>0.88721351785088942</v>
      </c>
      <c r="H8" s="374">
        <f t="shared" si="4"/>
        <v>0.88721351785088942</v>
      </c>
      <c r="I8" s="423">
        <f>AVERAGE('Cuadro Mando Integral Detallado'!O148:O158,'Cuadro Mando Integral Detallado'!O205,'Cuadro Mando Integral Detallado'!O212:O214,'Cuadro Mando Integral Detallado'!O306)</f>
        <v>0.22180337946272236</v>
      </c>
      <c r="J8" s="376">
        <f t="shared" si="5"/>
        <v>0.22180337946272236</v>
      </c>
      <c r="K8" s="377">
        <f t="shared" si="6"/>
        <v>0.22180337946272236</v>
      </c>
      <c r="L8" s="377">
        <f t="shared" si="7"/>
        <v>0.22180337946272236</v>
      </c>
      <c r="M8" s="377">
        <f t="shared" si="8"/>
        <v>0.22180337946272236</v>
      </c>
      <c r="N8" s="378">
        <f t="shared" si="9"/>
        <v>0.22180337946272236</v>
      </c>
      <c r="O8" s="11"/>
      <c r="P8" s="423">
        <f>AVERAGE('Cuadro Mando Integral Detallado'!S148:S158,'Cuadro Mando Integral Detallado'!S205,'Cuadro Mando Integral Detallado'!S212:S214,'Cuadro Mando Integral Detallado'!S306)</f>
        <v>0.99917452830188691</v>
      </c>
      <c r="Q8" s="382">
        <f t="shared" si="10"/>
        <v>0.99917452830188691</v>
      </c>
      <c r="R8" s="373">
        <f t="shared" si="11"/>
        <v>0.99917452830188691</v>
      </c>
      <c r="S8" s="373">
        <f t="shared" si="12"/>
        <v>0.99917452830188691</v>
      </c>
      <c r="T8" s="373">
        <f t="shared" si="13"/>
        <v>0.99917452830188691</v>
      </c>
      <c r="U8" s="374">
        <f t="shared" si="14"/>
        <v>0.99917452830188691</v>
      </c>
      <c r="V8" s="423">
        <f>AVERAGE('Cuadro Mando Integral Detallado'!V148:V158,'Cuadro Mando Integral Detallado'!V205,'Cuadro Mando Integral Detallado'!V212:V214,'Cuadro Mando Integral Detallado'!V306)</f>
        <v>0.42371212750780773</v>
      </c>
      <c r="W8" s="376">
        <f t="shared" si="15"/>
        <v>0.42371212750780773</v>
      </c>
      <c r="X8" s="377">
        <f t="shared" si="16"/>
        <v>0.42371212750780773</v>
      </c>
      <c r="Y8" s="377">
        <f t="shared" si="17"/>
        <v>0.42371212750780773</v>
      </c>
      <c r="Z8" s="377">
        <f t="shared" si="18"/>
        <v>0.42371212750780773</v>
      </c>
      <c r="AA8" s="378">
        <f t="shared" si="19"/>
        <v>0.42371212750780773</v>
      </c>
      <c r="AB8" s="412"/>
      <c r="AC8" s="423">
        <f>AVERAGE('Cuadro Mando Integral Detallado'!Z148:Z158,'Cuadro Mando Integral Detallado'!Z205,'Cuadro Mando Integral Detallado'!Z212:Z214,'Cuadro Mando Integral Detallado'!Z306)</f>
        <v>0.9997652582159624</v>
      </c>
      <c r="AD8" s="382">
        <f t="shared" si="20"/>
        <v>0.9997652582159624</v>
      </c>
      <c r="AE8" s="373">
        <f t="shared" si="21"/>
        <v>0.9997652582159624</v>
      </c>
      <c r="AF8" s="373">
        <f t="shared" si="22"/>
        <v>0.9997652582159624</v>
      </c>
      <c r="AG8" s="373">
        <f t="shared" si="23"/>
        <v>0.9997652582159624</v>
      </c>
      <c r="AH8" s="374">
        <f t="shared" si="24"/>
        <v>0.9997652582159624</v>
      </c>
      <c r="AI8" s="423">
        <f>AVERAGE('Cuadro Mando Integral Detallado'!AC148:AC158,'Cuadro Mando Integral Detallado'!AC205,'Cuadro Mando Integral Detallado'!AC212:AC214,'Cuadro Mando Integral Detallado'!AC306)</f>
        <v>0.66608301952658711</v>
      </c>
      <c r="AJ8" s="382">
        <f t="shared" si="39"/>
        <v>0.66608301952658711</v>
      </c>
      <c r="AK8" s="377">
        <f t="shared" si="40"/>
        <v>0.66608301952658711</v>
      </c>
      <c r="AL8" s="377">
        <f t="shared" si="41"/>
        <v>0.66608301952658711</v>
      </c>
      <c r="AM8" s="377">
        <f t="shared" si="42"/>
        <v>0.66608301952658711</v>
      </c>
      <c r="AN8" s="378">
        <f t="shared" si="43"/>
        <v>0.66608301952658711</v>
      </c>
      <c r="AO8" s="409"/>
      <c r="AP8" s="423">
        <f>AVERAGE('Cuadro Mando Integral Detallado'!AG148:AG158,'Cuadro Mando Integral Detallado'!AG205,'Cuadro Mando Integral Detallado'!AG212:AG214,'Cuadro Mando Integral Detallado'!AG306)</f>
        <v>0.99757299962078116</v>
      </c>
      <c r="AQ8" s="382">
        <f t="shared" si="30"/>
        <v>0.99757299962078116</v>
      </c>
      <c r="AR8" s="373">
        <f t="shared" si="31"/>
        <v>0.99757299962078116</v>
      </c>
      <c r="AS8" s="373">
        <f t="shared" si="32"/>
        <v>0.99757299962078116</v>
      </c>
      <c r="AT8" s="373">
        <f t="shared" si="33"/>
        <v>0.99757299962078116</v>
      </c>
      <c r="AU8" s="374">
        <f t="shared" si="34"/>
        <v>0.99757299962078116</v>
      </c>
      <c r="AV8" s="423">
        <f>AVERAGE('Cuadro Mando Integral Detallado'!AI148:AI158,'Cuadro Mando Integral Detallado'!AI205,'Cuadro Mando Integral Detallado'!AI212:AI214,'Cuadro Mando Integral Detallado'!AI306)</f>
        <v>0.99896524200247017</v>
      </c>
      <c r="AW8" s="382">
        <f t="shared" si="44"/>
        <v>0.99896524200247017</v>
      </c>
      <c r="AX8" s="377">
        <f t="shared" si="35"/>
        <v>0.99896524200247017</v>
      </c>
      <c r="AY8" s="377">
        <f t="shared" si="36"/>
        <v>0.99896524200247017</v>
      </c>
      <c r="AZ8" s="377">
        <f t="shared" si="37"/>
        <v>0.99896524200247017</v>
      </c>
      <c r="BA8" s="378">
        <f t="shared" si="38"/>
        <v>0.99896524200247017</v>
      </c>
    </row>
    <row r="9" spans="1:53" ht="18" x14ac:dyDescent="0.25">
      <c r="A9" s="370" t="s">
        <v>162</v>
      </c>
      <c r="B9" s="421"/>
      <c r="C9" s="423">
        <f>AVERAGE('Cuadro Mando Integral Detallado'!L134,'Cuadro Mando Integral Detallado'!L139:L143,'Cuadro Mando Integral Detallado'!L206,'Cuadro Mando Integral Detallado'!L209:L210,'Cuadro Mando Integral Detallado'!L307)</f>
        <v>0.66666819025165036</v>
      </c>
      <c r="D9" s="382">
        <f t="shared" si="0"/>
        <v>0.66666819025165036</v>
      </c>
      <c r="E9" s="373">
        <f t="shared" si="1"/>
        <v>0.66666819025165036</v>
      </c>
      <c r="F9" s="373">
        <f t="shared" si="2"/>
        <v>0.66666819025165036</v>
      </c>
      <c r="G9" s="373">
        <f t="shared" si="3"/>
        <v>0.66666819025165036</v>
      </c>
      <c r="H9" s="374">
        <f t="shared" si="4"/>
        <v>0.66666819025165036</v>
      </c>
      <c r="I9" s="423">
        <f>AVERAGE('Cuadro Mando Integral Detallado'!O134,'Cuadro Mando Integral Detallado'!O139:O143,'Cuadro Mando Integral Detallado'!O206,'Cuadro Mando Integral Detallado'!O209:O210,'Cuadro Mando Integral Detallado'!O307)</f>
        <v>0.16666704756291259</v>
      </c>
      <c r="J9" s="376">
        <f t="shared" si="5"/>
        <v>0.16666704756291259</v>
      </c>
      <c r="K9" s="377">
        <f t="shared" si="6"/>
        <v>0.16666704756291259</v>
      </c>
      <c r="L9" s="377">
        <f t="shared" si="7"/>
        <v>0.16666704756291259</v>
      </c>
      <c r="M9" s="377">
        <f t="shared" si="8"/>
        <v>0.16666704756291259</v>
      </c>
      <c r="N9" s="378">
        <f t="shared" si="9"/>
        <v>0.16666704756291259</v>
      </c>
      <c r="O9" s="11"/>
      <c r="P9" s="423">
        <f>AVERAGE('Cuadro Mando Integral Detallado'!S134:S143,'Cuadro Mando Integral Detallado'!S206:S207,'Cuadro Mando Integral Detallado'!S209:S210,'Cuadro Mando Integral Detallado'!S307)</f>
        <v>1</v>
      </c>
      <c r="Q9" s="382">
        <f t="shared" si="10"/>
        <v>1</v>
      </c>
      <c r="R9" s="373">
        <f t="shared" si="11"/>
        <v>1</v>
      </c>
      <c r="S9" s="373">
        <f t="shared" si="12"/>
        <v>1</v>
      </c>
      <c r="T9" s="373">
        <f t="shared" si="13"/>
        <v>1</v>
      </c>
      <c r="U9" s="374">
        <f t="shared" si="14"/>
        <v>1</v>
      </c>
      <c r="V9" s="423">
        <f>AVERAGE('Cuadro Mando Integral Detallado'!V134:V143,'Cuadro Mando Integral Detallado'!V206:V207,'Cuadro Mando Integral Detallado'!V209:V210,'Cuadro Mando Integral Detallado'!V307)</f>
        <v>0.37179513549227278</v>
      </c>
      <c r="W9" s="376">
        <f t="shared" si="15"/>
        <v>0.37179513549227278</v>
      </c>
      <c r="X9" s="377">
        <f t="shared" si="16"/>
        <v>0.37179513549227278</v>
      </c>
      <c r="Y9" s="377">
        <f t="shared" si="17"/>
        <v>0.37179513549227278</v>
      </c>
      <c r="Z9" s="377">
        <f t="shared" si="18"/>
        <v>0.37179513549227278</v>
      </c>
      <c r="AA9" s="378">
        <f t="shared" si="19"/>
        <v>0.37179513549227278</v>
      </c>
      <c r="AB9" s="409"/>
      <c r="AC9" s="423">
        <f>AVERAGE('Cuadro Mando Integral Detallado'!Z134:Z143,'Cuadro Mando Integral Detallado'!Z206,'Cuadro Mando Integral Detallado'!Z209:Z210,'Cuadro Mando Integral Detallado'!Z307)</f>
        <v>0.99262899262899262</v>
      </c>
      <c r="AD9" s="382">
        <f t="shared" si="20"/>
        <v>0.99262899262899262</v>
      </c>
      <c r="AE9" s="373">
        <f t="shared" si="21"/>
        <v>0.99262899262899262</v>
      </c>
      <c r="AF9" s="373">
        <f t="shared" si="22"/>
        <v>0.99262899262899262</v>
      </c>
      <c r="AG9" s="373">
        <f t="shared" si="23"/>
        <v>0.99262899262899262</v>
      </c>
      <c r="AH9" s="374">
        <f t="shared" si="24"/>
        <v>0.99262899262899262</v>
      </c>
      <c r="AI9" s="423">
        <f>AVERAGE('Cuadro Mando Integral Detallado'!AC134:AC143,'Cuadro Mando Integral Detallado'!AC206,'Cuadro Mando Integral Detallado'!AC209:AC210,'Cuadro Mando Integral Detallado'!AC307)</f>
        <v>0.60689562059275803</v>
      </c>
      <c r="AJ9" s="382">
        <f t="shared" si="39"/>
        <v>0.60689562059275803</v>
      </c>
      <c r="AK9" s="377">
        <f t="shared" si="40"/>
        <v>0.60689562059275803</v>
      </c>
      <c r="AL9" s="377">
        <f t="shared" si="41"/>
        <v>0.60689562059275803</v>
      </c>
      <c r="AM9" s="377">
        <f t="shared" si="42"/>
        <v>0.60689562059275803</v>
      </c>
      <c r="AN9" s="378">
        <f t="shared" si="43"/>
        <v>0.60689562059275803</v>
      </c>
      <c r="AO9" s="409"/>
      <c r="AP9" s="423">
        <f>AVERAGE('Cuadro Mando Integral Detallado'!AG134:AG143,'Cuadro Mando Integral Detallado'!AG206,'Cuadro Mando Integral Detallado'!AG209:AG210,'Cuadro Mando Integral Detallado'!AG307)</f>
        <v>1</v>
      </c>
      <c r="AQ9" s="382">
        <f t="shared" si="30"/>
        <v>1</v>
      </c>
      <c r="AR9" s="373">
        <f t="shared" si="31"/>
        <v>1</v>
      </c>
      <c r="AS9" s="373">
        <f t="shared" si="32"/>
        <v>1</v>
      </c>
      <c r="AT9" s="373">
        <f t="shared" si="33"/>
        <v>1</v>
      </c>
      <c r="AU9" s="374">
        <f t="shared" si="34"/>
        <v>1</v>
      </c>
      <c r="AV9" s="423">
        <f>AVERAGE('Cuadro Mando Integral Detallado'!AI134:AI143,'Cuadro Mando Integral Detallado'!AI206,'Cuadro Mando Integral Detallado'!AI209:AI210,'Cuadro Mando Integral Detallado'!AI307)</f>
        <v>0.79920331290045021</v>
      </c>
      <c r="AW9" s="382">
        <f t="shared" si="44"/>
        <v>0.79920331290045021</v>
      </c>
      <c r="AX9" s="377">
        <f t="shared" si="35"/>
        <v>0.79920331290045021</v>
      </c>
      <c r="AY9" s="377">
        <f t="shared" si="36"/>
        <v>0.79920331290045021</v>
      </c>
      <c r="AZ9" s="377">
        <f t="shared" si="37"/>
        <v>0.79920331290045021</v>
      </c>
      <c r="BA9" s="378">
        <f t="shared" si="38"/>
        <v>0.79920331290045021</v>
      </c>
    </row>
    <row r="10" spans="1:53" ht="54" x14ac:dyDescent="0.25">
      <c r="A10" s="370" t="s">
        <v>230</v>
      </c>
      <c r="B10" s="421"/>
      <c r="C10" s="423">
        <f>AVERAGE('Cuadro Mando Integral Detallado'!L144:L147,'Cuadro Mando Integral Detallado'!L195:L198,'Cuadro Mando Integral Detallado'!L211,'Cuadro Mando Integral Detallado'!L288:L300,'Cuadro Mando Integral Detallado'!L357:L359)</f>
        <v>0.99890010933381257</v>
      </c>
      <c r="D10" s="382">
        <f t="shared" si="0"/>
        <v>0.99890010933381257</v>
      </c>
      <c r="E10" s="373">
        <f t="shared" si="1"/>
        <v>0.99890010933381257</v>
      </c>
      <c r="F10" s="373">
        <f t="shared" si="2"/>
        <v>0.99890010933381257</v>
      </c>
      <c r="G10" s="373">
        <f t="shared" si="3"/>
        <v>0.99890010933381257</v>
      </c>
      <c r="H10" s="374">
        <f t="shared" si="4"/>
        <v>0.99890010933381257</v>
      </c>
      <c r="I10" s="423">
        <f>AVERAGE('Cuadro Mando Integral Detallado'!O144:O147,'Cuadro Mando Integral Detallado'!O195:O198,'Cuadro Mando Integral Detallado'!O211,'Cuadro Mando Integral Detallado'!O288:O300,'Cuadro Mando Integral Detallado'!O357:O359)</f>
        <v>0.53515067151328233</v>
      </c>
      <c r="J10" s="376">
        <f t="shared" si="5"/>
        <v>0.53515067151328233</v>
      </c>
      <c r="K10" s="377">
        <f t="shared" si="6"/>
        <v>0.53515067151328233</v>
      </c>
      <c r="L10" s="377">
        <f t="shared" si="7"/>
        <v>0.53515067151328233</v>
      </c>
      <c r="M10" s="377">
        <f t="shared" si="8"/>
        <v>0.53515067151328233</v>
      </c>
      <c r="N10" s="378">
        <f t="shared" si="9"/>
        <v>0.53515067151328233</v>
      </c>
      <c r="O10" s="11"/>
      <c r="P10" s="423">
        <f>AVERAGE('Cuadro Mando Integral Detallado'!S144:S147,'Cuadro Mando Integral Detallado'!S195:S198,'Cuadro Mando Integral Detallado'!S211,'Cuadro Mando Integral Detallado'!S288:S300,'Cuadro Mando Integral Detallado'!S357:S359)</f>
        <v>0.89975913088505466</v>
      </c>
      <c r="Q10" s="382">
        <f t="shared" si="10"/>
        <v>0.89975913088505466</v>
      </c>
      <c r="R10" s="373">
        <f t="shared" si="11"/>
        <v>0.89975913088505466</v>
      </c>
      <c r="S10" s="373">
        <f t="shared" si="12"/>
        <v>0.89975913088505466</v>
      </c>
      <c r="T10" s="373">
        <f t="shared" si="13"/>
        <v>0.89975913088505466</v>
      </c>
      <c r="U10" s="374">
        <f t="shared" si="14"/>
        <v>0.89975913088505466</v>
      </c>
      <c r="V10" s="423">
        <f>AVERAGE('Cuadro Mando Integral Detallado'!V144:V147,'Cuadro Mando Integral Detallado'!V195:V198,'Cuadro Mando Integral Detallado'!V211,'Cuadro Mando Integral Detallado'!V288:V300,'Cuadro Mando Integral Detallado'!V357:V359)</f>
        <v>0.55776084756264677</v>
      </c>
      <c r="W10" s="376">
        <f t="shared" si="15"/>
        <v>0.55776084756264677</v>
      </c>
      <c r="X10" s="377">
        <f t="shared" si="16"/>
        <v>0.55776084756264677</v>
      </c>
      <c r="Y10" s="377">
        <f t="shared" si="17"/>
        <v>0.55776084756264677</v>
      </c>
      <c r="Z10" s="377">
        <f t="shared" si="18"/>
        <v>0.55776084756264677</v>
      </c>
      <c r="AA10" s="378">
        <f t="shared" si="19"/>
        <v>0.55776084756264677</v>
      </c>
      <c r="AB10" s="409"/>
      <c r="AC10" s="423">
        <f>AVERAGE('Cuadro Mando Integral Detallado'!Z144:Z147,'Cuadro Mando Integral Detallado'!Z195:Z198,'Cuadro Mando Integral Detallado'!Z211,'Cuadro Mando Integral Detallado'!Z288:Z300,'Cuadro Mando Integral Detallado'!Z357:Z359)</f>
        <v>0.96838102856228481</v>
      </c>
      <c r="AD10" s="382">
        <f t="shared" si="20"/>
        <v>0.96838102856228481</v>
      </c>
      <c r="AE10" s="373">
        <f t="shared" si="21"/>
        <v>0.96838102856228481</v>
      </c>
      <c r="AF10" s="373">
        <f t="shared" si="22"/>
        <v>0.96838102856228481</v>
      </c>
      <c r="AG10" s="373">
        <f t="shared" si="23"/>
        <v>0.96838102856228481</v>
      </c>
      <c r="AH10" s="374">
        <f t="shared" si="24"/>
        <v>0.96838102856228481</v>
      </c>
      <c r="AI10" s="423">
        <f>AVERAGE('Cuadro Mando Integral Detallado'!AC144:AC147,'Cuadro Mando Integral Detallado'!AC195:AC198,'Cuadro Mando Integral Detallado'!AC211,'Cuadro Mando Integral Detallado'!AC288:AC300,'Cuadro Mando Integral Detallado'!AC357:AC359)</f>
        <v>0.72710756834015544</v>
      </c>
      <c r="AJ10" s="382">
        <f t="shared" si="39"/>
        <v>0.72710756834015544</v>
      </c>
      <c r="AK10" s="377">
        <f t="shared" si="40"/>
        <v>0.72710756834015544</v>
      </c>
      <c r="AL10" s="377">
        <f t="shared" si="41"/>
        <v>0.72710756834015544</v>
      </c>
      <c r="AM10" s="377">
        <f t="shared" si="42"/>
        <v>0.72710756834015544</v>
      </c>
      <c r="AN10" s="378">
        <f t="shared" si="43"/>
        <v>0.72710756834015544</v>
      </c>
      <c r="AO10" s="409"/>
      <c r="AP10" s="423">
        <f>AVERAGE('Cuadro Mando Integral Detallado'!AG144:AG147,'Cuadro Mando Integral Detallado'!AG195:AG198,'Cuadro Mando Integral Detallado'!AG211,'Cuadro Mando Integral Detallado'!AG288:AG300,'Cuadro Mando Integral Detallado'!AG357:AG359)</f>
        <v>0.90636280015629367</v>
      </c>
      <c r="AQ10" s="382">
        <f t="shared" si="30"/>
        <v>0.90636280015629367</v>
      </c>
      <c r="AR10" s="373">
        <f t="shared" si="31"/>
        <v>0.90636280015629367</v>
      </c>
      <c r="AS10" s="373">
        <f t="shared" si="32"/>
        <v>0.90636280015629367</v>
      </c>
      <c r="AT10" s="373">
        <f t="shared" si="33"/>
        <v>0.90636280015629367</v>
      </c>
      <c r="AU10" s="374">
        <f t="shared" si="34"/>
        <v>0.90636280015629367</v>
      </c>
      <c r="AV10" s="423">
        <f>AVERAGE('Cuadro Mando Integral Detallado'!AI144:AI147,'Cuadro Mando Integral Detallado'!AI195:AI198,'Cuadro Mando Integral Detallado'!AI211,'Cuadro Mando Integral Detallado'!AI288:AI300,'Cuadro Mando Integral Detallado'!AI357:AI359)</f>
        <v>0.92711047814777259</v>
      </c>
      <c r="AW10" s="382">
        <f t="shared" si="44"/>
        <v>0.92711047814777259</v>
      </c>
      <c r="AX10" s="377">
        <f t="shared" si="35"/>
        <v>0.92711047814777259</v>
      </c>
      <c r="AY10" s="377">
        <f t="shared" si="36"/>
        <v>0.92711047814777259</v>
      </c>
      <c r="AZ10" s="377">
        <f t="shared" si="37"/>
        <v>0.92711047814777259</v>
      </c>
      <c r="BA10" s="378">
        <f t="shared" si="38"/>
        <v>0.92711047814777259</v>
      </c>
    </row>
    <row r="11" spans="1:53" ht="36" x14ac:dyDescent="0.25">
      <c r="A11" s="424" t="s">
        <v>14</v>
      </c>
      <c r="B11" s="421"/>
      <c r="C11" s="423">
        <f>AVERAGE('Cuadro Mando Integral Detallado'!L183:L194,'Cuadro Mando Integral Detallado'!L256:L287,'Cuadro Mando Integral Detallado'!L309:L356)</f>
        <v>0.88260048207929065</v>
      </c>
      <c r="D11" s="382">
        <f t="shared" si="0"/>
        <v>0.88260048207929065</v>
      </c>
      <c r="E11" s="373">
        <f t="shared" si="1"/>
        <v>0.88260048207929065</v>
      </c>
      <c r="F11" s="373">
        <f t="shared" si="2"/>
        <v>0.88260048207929065</v>
      </c>
      <c r="G11" s="373">
        <f t="shared" si="3"/>
        <v>0.88260048207929065</v>
      </c>
      <c r="H11" s="374">
        <f t="shared" si="4"/>
        <v>0.88260048207929065</v>
      </c>
      <c r="I11" s="423">
        <f>AVERAGE('Cuadro Mando Integral Detallado'!O183:O194,'Cuadro Mando Integral Detallado'!O256:O287,'Cuadro Mando Integral Detallado'!O309:O356)</f>
        <v>0.42400490650782002</v>
      </c>
      <c r="J11" s="376">
        <f t="shared" si="5"/>
        <v>0.42400490650782002</v>
      </c>
      <c r="K11" s="377">
        <f t="shared" si="6"/>
        <v>0.42400490650782002</v>
      </c>
      <c r="L11" s="377">
        <f t="shared" si="7"/>
        <v>0.42400490650782002</v>
      </c>
      <c r="M11" s="377">
        <f t="shared" si="8"/>
        <v>0.42400490650782002</v>
      </c>
      <c r="N11" s="378">
        <f t="shared" si="9"/>
        <v>0.42400490650782002</v>
      </c>
      <c r="O11" s="11"/>
      <c r="P11" s="423">
        <f>AVERAGE('Cuadro Mando Integral Detallado'!S183:S194,'Cuadro Mando Integral Detallado'!S256:S287,'Cuadro Mando Integral Detallado'!S309:S356)</f>
        <v>0.84334038550790458</v>
      </c>
      <c r="Q11" s="382">
        <f t="shared" si="10"/>
        <v>0.84334038550790458</v>
      </c>
      <c r="R11" s="373">
        <f t="shared" si="11"/>
        <v>0.84334038550790458</v>
      </c>
      <c r="S11" s="373">
        <f t="shared" si="12"/>
        <v>0.84334038550790458</v>
      </c>
      <c r="T11" s="373">
        <f t="shared" si="13"/>
        <v>0.84334038550790458</v>
      </c>
      <c r="U11" s="374">
        <f t="shared" si="14"/>
        <v>0.84334038550790458</v>
      </c>
      <c r="V11" s="423">
        <f>AVERAGE('Cuadro Mando Integral Detallado'!V183:V194,'Cuadro Mando Integral Detallado'!V256:V287,'Cuadro Mando Integral Detallado'!V309:V356)</f>
        <v>0.50805664176949417</v>
      </c>
      <c r="W11" s="376">
        <f t="shared" si="15"/>
        <v>0.50805664176949417</v>
      </c>
      <c r="X11" s="377">
        <f t="shared" si="16"/>
        <v>0.50805664176949417</v>
      </c>
      <c r="Y11" s="377">
        <f t="shared" si="17"/>
        <v>0.50805664176949417</v>
      </c>
      <c r="Z11" s="377">
        <f t="shared" si="18"/>
        <v>0.50805664176949417</v>
      </c>
      <c r="AA11" s="378">
        <f t="shared" si="19"/>
        <v>0.50805664176949417</v>
      </c>
      <c r="AB11" s="409"/>
      <c r="AC11" s="423">
        <f>AVERAGE('Cuadro Mando Integral Detallado'!Z183:Z194,'Cuadro Mando Integral Detallado'!Z256:Z287,'Cuadro Mando Integral Detallado'!Z309:Z356)</f>
        <v>0.64074775171484954</v>
      </c>
      <c r="AD11" s="382">
        <f t="shared" si="20"/>
        <v>0.64074775171484954</v>
      </c>
      <c r="AE11" s="373">
        <f t="shared" si="21"/>
        <v>0.64074775171484954</v>
      </c>
      <c r="AF11" s="373">
        <f t="shared" si="22"/>
        <v>0.64074775171484954</v>
      </c>
      <c r="AG11" s="373">
        <f t="shared" si="23"/>
        <v>0.64074775171484954</v>
      </c>
      <c r="AH11" s="374">
        <f t="shared" si="24"/>
        <v>0.64074775171484954</v>
      </c>
      <c r="AI11" s="423">
        <f>AVERAGE('Cuadro Mando Integral Detallado'!AC183:AC194,'Cuadro Mando Integral Detallado'!AC256:AC287,'Cuadro Mando Integral Detallado'!AC309:AC356)</f>
        <v>0.6305273302064881</v>
      </c>
      <c r="AJ11" s="382">
        <f t="shared" si="39"/>
        <v>0.6305273302064881</v>
      </c>
      <c r="AK11" s="377">
        <f t="shared" si="40"/>
        <v>0.6305273302064881</v>
      </c>
      <c r="AL11" s="377">
        <f t="shared" si="41"/>
        <v>0.6305273302064881</v>
      </c>
      <c r="AM11" s="377">
        <f t="shared" si="42"/>
        <v>0.6305273302064881</v>
      </c>
      <c r="AN11" s="378">
        <f t="shared" si="43"/>
        <v>0.6305273302064881</v>
      </c>
      <c r="AO11" s="409"/>
      <c r="AP11" s="423">
        <f>AVERAGE('Cuadro Mando Integral Detallado'!AG183:AG194,'Cuadro Mando Integral Detallado'!AG256:AG287,'Cuadro Mando Integral Detallado'!AG309:AG356)</f>
        <v>0.71719560815086703</v>
      </c>
      <c r="AQ11" s="382">
        <f t="shared" si="30"/>
        <v>0.71719560815086703</v>
      </c>
      <c r="AR11" s="373">
        <f t="shared" si="31"/>
        <v>0.71719560815086703</v>
      </c>
      <c r="AS11" s="373">
        <f t="shared" si="32"/>
        <v>0.71719560815086703</v>
      </c>
      <c r="AT11" s="373">
        <f t="shared" si="33"/>
        <v>0.71719560815086703</v>
      </c>
      <c r="AU11" s="374">
        <f t="shared" si="34"/>
        <v>0.71719560815086703</v>
      </c>
      <c r="AV11" s="423">
        <f>AVERAGE('Cuadro Mando Integral Detallado'!AI183:AI194,'Cuadro Mando Integral Detallado'!AI256:AI287,'Cuadro Mando Integral Detallado'!AI309:AI356)</f>
        <v>0.77905296861884332</v>
      </c>
      <c r="AW11" s="382">
        <f t="shared" si="44"/>
        <v>0.77905296861884332</v>
      </c>
      <c r="AX11" s="377">
        <f t="shared" si="35"/>
        <v>0.77905296861884332</v>
      </c>
      <c r="AY11" s="377">
        <f t="shared" si="36"/>
        <v>0.77905296861884332</v>
      </c>
      <c r="AZ11" s="377">
        <f t="shared" si="37"/>
        <v>0.77905296861884332</v>
      </c>
      <c r="BA11" s="378">
        <f t="shared" si="38"/>
        <v>0.77905296861884332</v>
      </c>
    </row>
    <row r="12" spans="1:53" ht="36" x14ac:dyDescent="0.25">
      <c r="A12" s="424" t="s">
        <v>231</v>
      </c>
      <c r="B12" s="421"/>
      <c r="C12" s="423">
        <f>AVERAGE('Cuadro Mando Integral Detallado'!L199:L204,'Cuadro Mando Integral Detallado'!L245:L248,'Cuadro Mando Integral Detallado'!L301:L302,'Cuadro Mando Integral Detallado'!L305,'Cuadro Mando Integral Detallado'!L362:L363)</f>
        <v>0.72946859903381644</v>
      </c>
      <c r="D12" s="382">
        <f t="shared" si="0"/>
        <v>0.72946859903381644</v>
      </c>
      <c r="E12" s="373">
        <f t="shared" si="1"/>
        <v>0.72946859903381644</v>
      </c>
      <c r="F12" s="373">
        <f t="shared" si="2"/>
        <v>0.72946859903381644</v>
      </c>
      <c r="G12" s="373">
        <f t="shared" si="3"/>
        <v>0.72946859903381644</v>
      </c>
      <c r="H12" s="374">
        <f t="shared" si="4"/>
        <v>0.72946859903381644</v>
      </c>
      <c r="I12" s="423">
        <f>AVERAGE('Cuadro Mando Integral Detallado'!O199:O204,'Cuadro Mando Integral Detallado'!O245:O248,'Cuadro Mando Integral Detallado'!O301:O302,'Cuadro Mando Integral Detallado'!O305,'Cuadro Mando Integral Detallado'!O362:O363)</f>
        <v>0.47472826086956527</v>
      </c>
      <c r="J12" s="376">
        <f t="shared" si="5"/>
        <v>0.47472826086956527</v>
      </c>
      <c r="K12" s="377">
        <f t="shared" si="6"/>
        <v>0.47472826086956527</v>
      </c>
      <c r="L12" s="377">
        <f t="shared" si="7"/>
        <v>0.47472826086956527</v>
      </c>
      <c r="M12" s="377">
        <f t="shared" si="8"/>
        <v>0.47472826086956527</v>
      </c>
      <c r="N12" s="378">
        <f t="shared" si="9"/>
        <v>0.47472826086956527</v>
      </c>
      <c r="O12" s="11"/>
      <c r="P12" s="423">
        <f>AVERAGE('Cuadro Mando Integral Detallado'!S199:S204,'Cuadro Mando Integral Detallado'!S245:S248,'Cuadro Mando Integral Detallado'!S301:S305,'Cuadro Mando Integral Detallado'!S362:S363)</f>
        <v>0.875</v>
      </c>
      <c r="Q12" s="382">
        <f t="shared" si="10"/>
        <v>0.875</v>
      </c>
      <c r="R12" s="373">
        <f t="shared" si="11"/>
        <v>0.875</v>
      </c>
      <c r="S12" s="373">
        <f t="shared" si="12"/>
        <v>0.875</v>
      </c>
      <c r="T12" s="373">
        <f t="shared" si="13"/>
        <v>0.875</v>
      </c>
      <c r="U12" s="374">
        <f t="shared" si="14"/>
        <v>0.875</v>
      </c>
      <c r="V12" s="423">
        <f>AVERAGE('Cuadro Mando Integral Detallado'!V199:V204,'Cuadro Mando Integral Detallado'!V245:V248,'Cuadro Mando Integral Detallado'!V301:V305,'Cuadro Mando Integral Detallado'!V362:V363)</f>
        <v>0.63096830705526352</v>
      </c>
      <c r="W12" s="376">
        <f t="shared" si="15"/>
        <v>0.63096830705526352</v>
      </c>
      <c r="X12" s="377">
        <f t="shared" si="16"/>
        <v>0.63096830705526352</v>
      </c>
      <c r="Y12" s="377">
        <f t="shared" si="17"/>
        <v>0.63096830705526352</v>
      </c>
      <c r="Z12" s="377">
        <f t="shared" si="18"/>
        <v>0.63096830705526352</v>
      </c>
      <c r="AA12" s="378">
        <f t="shared" si="19"/>
        <v>0.63096830705526352</v>
      </c>
      <c r="AB12" s="409"/>
      <c r="AC12" s="423">
        <f>AVERAGE('Cuadro Mando Integral Detallado'!Z199:Z204,'Cuadro Mando Integral Detallado'!Z245:Z248,'Cuadro Mando Integral Detallado'!Z301:Z305,'Cuadro Mando Integral Detallado'!Z362:Z363)</f>
        <v>1</v>
      </c>
      <c r="AD12" s="382">
        <f t="shared" si="20"/>
        <v>1</v>
      </c>
      <c r="AE12" s="373">
        <f t="shared" si="21"/>
        <v>1</v>
      </c>
      <c r="AF12" s="373">
        <f t="shared" si="22"/>
        <v>1</v>
      </c>
      <c r="AG12" s="373">
        <f t="shared" si="23"/>
        <v>1</v>
      </c>
      <c r="AH12" s="374">
        <f t="shared" si="24"/>
        <v>1</v>
      </c>
      <c r="AI12" s="423">
        <f>AVERAGE('Cuadro Mando Integral Detallado'!AC199:AC204,'Cuadro Mando Integral Detallado'!AC245:AC248,'Cuadro Mando Integral Detallado'!AC301:AC305,'Cuadro Mando Integral Detallado'!AC362:AC363)</f>
        <v>0.84873360938578324</v>
      </c>
      <c r="AJ12" s="382">
        <f t="shared" si="39"/>
        <v>0.84873360938578324</v>
      </c>
      <c r="AK12" s="377">
        <f t="shared" si="40"/>
        <v>0.84873360938578324</v>
      </c>
      <c r="AL12" s="377">
        <f t="shared" si="41"/>
        <v>0.84873360938578324</v>
      </c>
      <c r="AM12" s="377">
        <f t="shared" si="42"/>
        <v>0.84873360938578324</v>
      </c>
      <c r="AN12" s="378">
        <f t="shared" si="43"/>
        <v>0.84873360938578324</v>
      </c>
      <c r="AO12" s="409"/>
      <c r="AP12" s="423">
        <f>AVERAGE('Cuadro Mando Integral Detallado'!AG199:AG204,'Cuadro Mando Integral Detallado'!AG245:AG248,'Cuadro Mando Integral Detallado'!AG301:AG305,'Cuadro Mando Integral Detallado'!AG362:AG363)</f>
        <v>1</v>
      </c>
      <c r="AQ12" s="382">
        <f t="shared" si="30"/>
        <v>1</v>
      </c>
      <c r="AR12" s="373">
        <f t="shared" si="31"/>
        <v>1</v>
      </c>
      <c r="AS12" s="373">
        <f t="shared" si="32"/>
        <v>1</v>
      </c>
      <c r="AT12" s="373">
        <f t="shared" si="33"/>
        <v>1</v>
      </c>
      <c r="AU12" s="374">
        <f t="shared" si="34"/>
        <v>1</v>
      </c>
      <c r="AV12" s="1161">
        <f>AVERAGE('Cuadro Mando Integral Detallado'!AI199:AI204,'Cuadro Mando Integral Detallado'!AI245:AI248,'Cuadro Mando Integral Detallado'!AI301:AI305,'Cuadro Mando Integral Detallado'!AI362:AI363)</f>
        <v>0.98222524154589375</v>
      </c>
      <c r="AW12" s="382">
        <f>+AV12</f>
        <v>0.98222524154589375</v>
      </c>
      <c r="AX12" s="377">
        <f t="shared" si="35"/>
        <v>0.98222524154589375</v>
      </c>
      <c r="AY12" s="377">
        <f t="shared" si="36"/>
        <v>0.98222524154589375</v>
      </c>
      <c r="AZ12" s="377">
        <f t="shared" si="37"/>
        <v>0.98222524154589375</v>
      </c>
      <c r="BA12" s="378">
        <f t="shared" si="38"/>
        <v>0.98222524154589375</v>
      </c>
    </row>
    <row r="13" spans="1:53" ht="18" x14ac:dyDescent="0.25">
      <c r="A13" s="424" t="s">
        <v>125</v>
      </c>
      <c r="B13" s="421"/>
      <c r="C13" s="423">
        <f>AVERAGE('Cuadro Mando Integral Detallado'!L159:L162,'Cuadro Mando Integral Detallado'!L166:L171,'Cuadro Mando Integral Detallado'!L215:L220,'Cuadro Mando Integral Detallado'!L223:L237,'Cuadro Mando Integral Detallado'!L249)</f>
        <v>0.66072036893640718</v>
      </c>
      <c r="D13" s="382">
        <f t="shared" si="0"/>
        <v>0.66072036893640718</v>
      </c>
      <c r="E13" s="373">
        <f t="shared" si="1"/>
        <v>0.66072036893640718</v>
      </c>
      <c r="F13" s="373">
        <f t="shared" si="2"/>
        <v>0.66072036893640718</v>
      </c>
      <c r="G13" s="373">
        <f t="shared" si="3"/>
        <v>0.66072036893640718</v>
      </c>
      <c r="H13" s="374">
        <f t="shared" si="4"/>
        <v>0.66072036893640718</v>
      </c>
      <c r="I13" s="423">
        <f>AVERAGE('Cuadro Mando Integral Detallado'!O159:O162,'Cuadro Mando Integral Detallado'!O166:O171,'Cuadro Mando Integral Detallado'!O215:O220,'Cuadro Mando Integral Detallado'!O223:O237,'Cuadro Mando Integral Detallado'!O249)</f>
        <v>0.25659784115185075</v>
      </c>
      <c r="J13" s="376">
        <f t="shared" si="5"/>
        <v>0.25659784115185075</v>
      </c>
      <c r="K13" s="377">
        <f t="shared" si="6"/>
        <v>0.25659784115185075</v>
      </c>
      <c r="L13" s="377">
        <f t="shared" si="7"/>
        <v>0.25659784115185075</v>
      </c>
      <c r="M13" s="377">
        <f t="shared" si="8"/>
        <v>0.25659784115185075</v>
      </c>
      <c r="N13" s="378">
        <f t="shared" si="9"/>
        <v>0.25659784115185075</v>
      </c>
      <c r="O13" s="11"/>
      <c r="P13" s="423">
        <f>AVERAGE('Cuadro Mando Integral Detallado'!S159:S162,'Cuadro Mando Integral Detallado'!S166:S171,'Cuadro Mando Integral Detallado'!S215:S220,'Cuadro Mando Integral Detallado'!S223,S220:S232,'Cuadro Mando Integral Detallado'!S249)</f>
        <v>0.83073648530998312</v>
      </c>
      <c r="Q13" s="382">
        <f t="shared" si="10"/>
        <v>0.83073648530998312</v>
      </c>
      <c r="R13" s="373">
        <f t="shared" si="11"/>
        <v>0.83073648530998312</v>
      </c>
      <c r="S13" s="373">
        <f t="shared" si="12"/>
        <v>0.83073648530998312</v>
      </c>
      <c r="T13" s="373">
        <f t="shared" si="13"/>
        <v>0.83073648530998312</v>
      </c>
      <c r="U13" s="374">
        <f t="shared" si="14"/>
        <v>0.83073648530998312</v>
      </c>
      <c r="V13" s="423">
        <f>AVERAGE('Cuadro Mando Integral Detallado'!V159:V162,'Cuadro Mando Integral Detallado'!V166:V171,'Cuadro Mando Integral Detallado'!V215:V220,'Cuadro Mando Integral Detallado'!V223:V237,'Cuadro Mando Integral Detallado'!V249)</f>
        <v>0.41207095045905945</v>
      </c>
      <c r="W13" s="376">
        <f t="shared" si="15"/>
        <v>0.41207095045905945</v>
      </c>
      <c r="X13" s="377">
        <f t="shared" si="16"/>
        <v>0.41207095045905945</v>
      </c>
      <c r="Y13" s="377">
        <f t="shared" si="17"/>
        <v>0.41207095045905945</v>
      </c>
      <c r="Z13" s="377">
        <f t="shared" si="18"/>
        <v>0.41207095045905945</v>
      </c>
      <c r="AA13" s="378">
        <f t="shared" si="19"/>
        <v>0.41207095045905945</v>
      </c>
      <c r="AB13" s="409"/>
      <c r="AC13" s="423">
        <f>AVERAGE('Cuadro Mando Integral Detallado'!Z159:Z162,'Cuadro Mando Integral Detallado'!Z166:Z171,'Cuadro Mando Integral Detallado'!Z215:Z220,'Cuadro Mando Integral Detallado'!Z223:Z237,'Cuadro Mando Integral Detallado'!Z249)</f>
        <v>0.94152830668682264</v>
      </c>
      <c r="AD13" s="382">
        <f t="shared" si="20"/>
        <v>0.94152830668682264</v>
      </c>
      <c r="AE13" s="373">
        <f t="shared" si="21"/>
        <v>0.94152830668682264</v>
      </c>
      <c r="AF13" s="373">
        <f t="shared" si="22"/>
        <v>0.94152830668682264</v>
      </c>
      <c r="AG13" s="373">
        <f t="shared" si="23"/>
        <v>0.94152830668682264</v>
      </c>
      <c r="AH13" s="374">
        <f t="shared" si="24"/>
        <v>0.94152830668682264</v>
      </c>
      <c r="AI13" s="423">
        <f>AVERAGE('Cuadro Mando Integral Detallado'!AC159:AC162,'Cuadro Mando Integral Detallado'!AC166:AC171,'Cuadro Mando Integral Detallado'!AC215:AC220,'Cuadro Mando Integral Detallado'!AC223:AC237,'Cuadro Mando Integral Detallado'!AC249)</f>
        <v>0.57400776700562872</v>
      </c>
      <c r="AJ13" s="382">
        <f t="shared" si="39"/>
        <v>0.57400776700562872</v>
      </c>
      <c r="AK13" s="377">
        <f t="shared" si="40"/>
        <v>0.57400776700562872</v>
      </c>
      <c r="AL13" s="377">
        <f t="shared" si="41"/>
        <v>0.57400776700562872</v>
      </c>
      <c r="AM13" s="377">
        <f t="shared" si="42"/>
        <v>0.57400776700562872</v>
      </c>
      <c r="AN13" s="378">
        <f t="shared" si="43"/>
        <v>0.57400776700562872</v>
      </c>
      <c r="AO13" s="409"/>
      <c r="AP13" s="423">
        <f>AVERAGE('Cuadro Mando Integral Detallado'!AG159:AG162,'Cuadro Mando Integral Detallado'!AG166:AG171,'Cuadro Mando Integral Detallado'!AG215:AG220,'Cuadro Mando Integral Detallado'!AG223:AG237,'Cuadro Mando Integral Detallado'!AG249)</f>
        <v>0.9986249387954953</v>
      </c>
      <c r="AQ13" s="382">
        <f t="shared" si="30"/>
        <v>0.9986249387954953</v>
      </c>
      <c r="AR13" s="373">
        <f t="shared" si="31"/>
        <v>0.9986249387954953</v>
      </c>
      <c r="AS13" s="373">
        <f t="shared" si="32"/>
        <v>0.9986249387954953</v>
      </c>
      <c r="AT13" s="373">
        <f t="shared" si="33"/>
        <v>0.9986249387954953</v>
      </c>
      <c r="AU13" s="374">
        <f t="shared" si="34"/>
        <v>0.9986249387954953</v>
      </c>
      <c r="AV13" s="423">
        <f>AVERAGE('Cuadro Mando Integral Detallado'!AI159:AI162,'Cuadro Mando Integral Detallado'!AI166:AI171,'Cuadro Mando Integral Detallado'!AI215:AI220,'Cuadro Mando Integral Detallado'!AI223:AI237,'Cuadro Mando Integral Detallado'!AI249)</f>
        <v>0.77006523016145489</v>
      </c>
      <c r="AW13" s="382">
        <f t="shared" si="44"/>
        <v>0.77006523016145489</v>
      </c>
      <c r="AX13" s="377">
        <f t="shared" si="35"/>
        <v>0.77006523016145489</v>
      </c>
      <c r="AY13" s="377">
        <f t="shared" si="36"/>
        <v>0.77006523016145489</v>
      </c>
      <c r="AZ13" s="377">
        <f t="shared" si="37"/>
        <v>0.77006523016145489</v>
      </c>
      <c r="BA13" s="378">
        <f t="shared" si="38"/>
        <v>0.77006523016145489</v>
      </c>
    </row>
    <row r="14" spans="1:53" ht="18.75" thickBot="1" x14ac:dyDescent="0.3">
      <c r="A14" s="383" t="s">
        <v>3</v>
      </c>
      <c r="B14" s="425"/>
      <c r="C14" s="426">
        <f>AVERAGE('Cuadro Mando Integral Detallado'!L182,'Cuadro Mando Integral Detallado'!L250:L255,'Cuadro Mando Integral Detallado'!L361)</f>
        <v>0.8571428571428571</v>
      </c>
      <c r="D14" s="395">
        <f t="shared" si="0"/>
        <v>0.8571428571428571</v>
      </c>
      <c r="E14" s="386">
        <f t="shared" si="1"/>
        <v>0.8571428571428571</v>
      </c>
      <c r="F14" s="386">
        <f t="shared" si="2"/>
        <v>0.8571428571428571</v>
      </c>
      <c r="G14" s="386">
        <f t="shared" si="3"/>
        <v>0.8571428571428571</v>
      </c>
      <c r="H14" s="387">
        <f t="shared" si="4"/>
        <v>0.8571428571428571</v>
      </c>
      <c r="I14" s="426">
        <f>AVERAGE('Cuadro Mando Integral Detallado'!O182,'Cuadro Mando Integral Detallado'!O250:R255,'Cuadro Mando Integral Detallado'!O361)</f>
        <v>1.0015432098765433</v>
      </c>
      <c r="J14" s="389">
        <f t="shared" si="5"/>
        <v>1.0015432098765433</v>
      </c>
      <c r="K14" s="390">
        <f t="shared" si="6"/>
        <v>1.0015432098765433</v>
      </c>
      <c r="L14" s="390">
        <f t="shared" si="7"/>
        <v>1.0015432098765433</v>
      </c>
      <c r="M14" s="390">
        <f t="shared" si="8"/>
        <v>1.0015432098765433</v>
      </c>
      <c r="N14" s="391">
        <f t="shared" si="9"/>
        <v>1.0015432098765433</v>
      </c>
      <c r="O14" s="11"/>
      <c r="P14" s="426">
        <f>AVERAGE('Cuadro Mando Integral Detallado'!S182,'Cuadro Mando Integral Detallado'!S250:S255,'Cuadro Mando Integral Detallado'!S361)</f>
        <v>1</v>
      </c>
      <c r="Q14" s="395">
        <f t="shared" si="10"/>
        <v>1</v>
      </c>
      <c r="R14" s="386">
        <f t="shared" si="11"/>
        <v>1</v>
      </c>
      <c r="S14" s="386">
        <f t="shared" si="12"/>
        <v>1</v>
      </c>
      <c r="T14" s="386">
        <f t="shared" si="13"/>
        <v>1</v>
      </c>
      <c r="U14" s="387">
        <f t="shared" si="14"/>
        <v>1</v>
      </c>
      <c r="V14" s="426">
        <f>AVERAGE('Cuadro Mando Integral Detallado'!V182,'Cuadro Mando Integral Detallado'!V250:V255,'Cuadro Mando Integral Detallado'!V361)</f>
        <v>0.48381410256410251</v>
      </c>
      <c r="W14" s="389">
        <f t="shared" si="15"/>
        <v>0.48381410256410251</v>
      </c>
      <c r="X14" s="390">
        <f t="shared" si="16"/>
        <v>0.48381410256410251</v>
      </c>
      <c r="Y14" s="390">
        <f t="shared" si="17"/>
        <v>0.48381410256410251</v>
      </c>
      <c r="Z14" s="390">
        <f t="shared" si="18"/>
        <v>0.48381410256410251</v>
      </c>
      <c r="AA14" s="391">
        <f>+W14</f>
        <v>0.48381410256410251</v>
      </c>
      <c r="AB14" s="409"/>
      <c r="AC14" s="426">
        <f>AVERAGE('Cuadro Mando Integral Detallado'!Z182,'Cuadro Mando Integral Detallado'!Z250:Z255,'Cuadro Mando Integral Detallado'!Z361)</f>
        <v>1</v>
      </c>
      <c r="AD14" s="395">
        <f t="shared" si="20"/>
        <v>1</v>
      </c>
      <c r="AE14" s="386">
        <f t="shared" si="21"/>
        <v>1</v>
      </c>
      <c r="AF14" s="386">
        <f t="shared" si="22"/>
        <v>1</v>
      </c>
      <c r="AG14" s="386">
        <f t="shared" si="23"/>
        <v>1</v>
      </c>
      <c r="AH14" s="387">
        <f t="shared" si="24"/>
        <v>1</v>
      </c>
      <c r="AI14" s="426">
        <f>AVERAGE('Cuadro Mando Integral Detallado'!AC182,'Cuadro Mando Integral Detallado'!AC250:AC255,'Cuadro Mando Integral Detallado'!AC361)</f>
        <v>0.79658119658119664</v>
      </c>
      <c r="AJ14" s="395">
        <f t="shared" si="39"/>
        <v>0.79658119658119664</v>
      </c>
      <c r="AK14" s="390">
        <f t="shared" si="40"/>
        <v>0.79658119658119664</v>
      </c>
      <c r="AL14" s="390">
        <f t="shared" si="41"/>
        <v>0.79658119658119664</v>
      </c>
      <c r="AM14" s="390">
        <f t="shared" si="42"/>
        <v>0.79658119658119664</v>
      </c>
      <c r="AN14" s="391">
        <f t="shared" si="43"/>
        <v>0.79658119658119664</v>
      </c>
      <c r="AO14" s="409"/>
      <c r="AP14" s="426">
        <f>AVERAGE('Cuadro Mando Integral Detallado'!AG182,'Cuadro Mando Integral Detallado'!AG250:AG255,'Cuadro Mando Integral Detallado'!AG361)</f>
        <v>1</v>
      </c>
      <c r="AQ14" s="395">
        <f t="shared" si="30"/>
        <v>1</v>
      </c>
      <c r="AR14" s="386">
        <f t="shared" si="31"/>
        <v>1</v>
      </c>
      <c r="AS14" s="386">
        <f t="shared" si="32"/>
        <v>1</v>
      </c>
      <c r="AT14" s="386">
        <f t="shared" si="33"/>
        <v>1</v>
      </c>
      <c r="AU14" s="387">
        <f t="shared" si="34"/>
        <v>1</v>
      </c>
      <c r="AV14" s="426">
        <f>AVERAGE('Cuadro Mando Integral Detallado'!AI182,'Cuadro Mando Integral Detallado'!AI250:AI255,'Cuadro Mando Integral Detallado'!AI361)</f>
        <v>1</v>
      </c>
      <c r="AW14" s="395">
        <f t="shared" si="44"/>
        <v>1</v>
      </c>
      <c r="AX14" s="390">
        <f>+AV14</f>
        <v>1</v>
      </c>
      <c r="AY14" s="390">
        <f t="shared" si="36"/>
        <v>1</v>
      </c>
      <c r="AZ14" s="390">
        <f t="shared" si="37"/>
        <v>1</v>
      </c>
      <c r="BA14" s="391">
        <f t="shared" si="38"/>
        <v>1</v>
      </c>
    </row>
    <row r="15" spans="1:53" x14ac:dyDescent="0.25">
      <c r="A15" s="13"/>
    </row>
  </sheetData>
  <sheetProtection algorithmName="SHA-512" hashValue="fVqYCohunoiPZPUQ+LwXwhqLpRkIT0scKY25uSz5t9KOdIiIK6piuBgpubLjqZ5SEwVtXAkMM2TyTrFc9bKkXA==" saltValue="odkH70wrz55WDBceDHRghg=="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631" priority="312" stopIfTrue="1" operator="between">
      <formula>0</formula>
      <formula>0.5</formula>
    </cfRule>
  </conditionalFormatting>
  <conditionalFormatting sqref="R6">
    <cfRule type="cellIs" dxfId="630" priority="311" operator="between">
      <formula>0.51</formula>
      <formula>0.75</formula>
    </cfRule>
  </conditionalFormatting>
  <conditionalFormatting sqref="S6">
    <cfRule type="cellIs" dxfId="629" priority="310" operator="between">
      <formula>0.76</formula>
      <formula>0.95</formula>
    </cfRule>
  </conditionalFormatting>
  <conditionalFormatting sqref="T6">
    <cfRule type="cellIs" dxfId="628" priority="309" operator="between">
      <formula>0.95</formula>
      <formula>1</formula>
    </cfRule>
  </conditionalFormatting>
  <conditionalFormatting sqref="U6">
    <cfRule type="cellIs" dxfId="627" priority="308" operator="greaterThan">
      <formula>1</formula>
    </cfRule>
  </conditionalFormatting>
  <conditionalFormatting sqref="Q7">
    <cfRule type="cellIs" dxfId="626" priority="307" stopIfTrue="1" operator="between">
      <formula>0</formula>
      <formula>0.5</formula>
    </cfRule>
  </conditionalFormatting>
  <conditionalFormatting sqref="R7">
    <cfRule type="cellIs" dxfId="625" priority="306" operator="between">
      <formula>0.51</formula>
      <formula>0.75</formula>
    </cfRule>
  </conditionalFormatting>
  <conditionalFormatting sqref="S7">
    <cfRule type="cellIs" dxfId="624" priority="305" operator="between">
      <formula>0.76</formula>
      <formula>0.95</formula>
    </cfRule>
  </conditionalFormatting>
  <conditionalFormatting sqref="T7">
    <cfRule type="cellIs" dxfId="623" priority="304" operator="between">
      <formula>0.95</formula>
      <formula>1</formula>
    </cfRule>
  </conditionalFormatting>
  <conditionalFormatting sqref="U7">
    <cfRule type="cellIs" dxfId="622" priority="303" operator="greaterThan">
      <formula>1</formula>
    </cfRule>
  </conditionalFormatting>
  <conditionalFormatting sqref="Q8">
    <cfRule type="cellIs" dxfId="621" priority="302" stopIfTrue="1" operator="between">
      <formula>0</formula>
      <formula>0.5</formula>
    </cfRule>
  </conditionalFormatting>
  <conditionalFormatting sqref="R8">
    <cfRule type="cellIs" dxfId="620" priority="301" operator="between">
      <formula>0.51</formula>
      <formula>0.75</formula>
    </cfRule>
  </conditionalFormatting>
  <conditionalFormatting sqref="S8">
    <cfRule type="cellIs" dxfId="619" priority="300" operator="between">
      <formula>0.76</formula>
      <formula>0.95</formula>
    </cfRule>
  </conditionalFormatting>
  <conditionalFormatting sqref="T8">
    <cfRule type="cellIs" dxfId="618" priority="299" operator="between">
      <formula>0.95</formula>
      <formula>1</formula>
    </cfRule>
  </conditionalFormatting>
  <conditionalFormatting sqref="U8">
    <cfRule type="cellIs" dxfId="617" priority="298" operator="greaterThan">
      <formula>1</formula>
    </cfRule>
  </conditionalFormatting>
  <conditionalFormatting sqref="Q9">
    <cfRule type="cellIs" dxfId="616" priority="297" stopIfTrue="1" operator="between">
      <formula>0</formula>
      <formula>0.5</formula>
    </cfRule>
  </conditionalFormatting>
  <conditionalFormatting sqref="R9">
    <cfRule type="cellIs" dxfId="615" priority="296" operator="between">
      <formula>0.51</formula>
      <formula>0.75</formula>
    </cfRule>
  </conditionalFormatting>
  <conditionalFormatting sqref="S9">
    <cfRule type="cellIs" dxfId="614" priority="295" operator="between">
      <formula>0.76</formula>
      <formula>0.95</formula>
    </cfRule>
  </conditionalFormatting>
  <conditionalFormatting sqref="T9">
    <cfRule type="cellIs" dxfId="613" priority="294" operator="between">
      <formula>0.95</formula>
      <formula>1</formula>
    </cfRule>
  </conditionalFormatting>
  <conditionalFormatting sqref="U9">
    <cfRule type="cellIs" dxfId="612" priority="293" operator="greaterThan">
      <formula>1</formula>
    </cfRule>
  </conditionalFormatting>
  <conditionalFormatting sqref="Q10">
    <cfRule type="cellIs" dxfId="611" priority="292" stopIfTrue="1" operator="between">
      <formula>0</formula>
      <formula>0.5</formula>
    </cfRule>
  </conditionalFormatting>
  <conditionalFormatting sqref="R10">
    <cfRule type="cellIs" dxfId="610" priority="291" operator="between">
      <formula>0.51</formula>
      <formula>0.75</formula>
    </cfRule>
  </conditionalFormatting>
  <conditionalFormatting sqref="S10">
    <cfRule type="cellIs" dxfId="609" priority="290" operator="between">
      <formula>0.76</formula>
      <formula>0.95</formula>
    </cfRule>
  </conditionalFormatting>
  <conditionalFormatting sqref="T10">
    <cfRule type="cellIs" dxfId="608" priority="289" operator="between">
      <formula>0.95</formula>
      <formula>1</formula>
    </cfRule>
  </conditionalFormatting>
  <conditionalFormatting sqref="U10">
    <cfRule type="cellIs" dxfId="607" priority="288" operator="greaterThan">
      <formula>1</formula>
    </cfRule>
  </conditionalFormatting>
  <conditionalFormatting sqref="Q11">
    <cfRule type="cellIs" dxfId="606" priority="287" stopIfTrue="1" operator="between">
      <formula>0</formula>
      <formula>0.5</formula>
    </cfRule>
  </conditionalFormatting>
  <conditionalFormatting sqref="R11">
    <cfRule type="cellIs" dxfId="605" priority="286" operator="between">
      <formula>0.51</formula>
      <formula>0.75</formula>
    </cfRule>
  </conditionalFormatting>
  <conditionalFormatting sqref="S11">
    <cfRule type="cellIs" dxfId="604" priority="285" operator="between">
      <formula>0.76</formula>
      <formula>0.95</formula>
    </cfRule>
  </conditionalFormatting>
  <conditionalFormatting sqref="T11">
    <cfRule type="cellIs" dxfId="603" priority="284" operator="between">
      <formula>0.95</formula>
      <formula>1</formula>
    </cfRule>
  </conditionalFormatting>
  <conditionalFormatting sqref="U11">
    <cfRule type="cellIs" dxfId="602" priority="283" operator="greaterThan">
      <formula>1</formula>
    </cfRule>
  </conditionalFormatting>
  <conditionalFormatting sqref="Q12">
    <cfRule type="cellIs" dxfId="601" priority="282" stopIfTrue="1" operator="between">
      <formula>0</formula>
      <formula>0.5</formula>
    </cfRule>
  </conditionalFormatting>
  <conditionalFormatting sqref="R12">
    <cfRule type="cellIs" dxfId="600" priority="281" operator="between">
      <formula>0.51</formula>
      <formula>0.75</formula>
    </cfRule>
  </conditionalFormatting>
  <conditionalFormatting sqref="S12">
    <cfRule type="cellIs" dxfId="599" priority="280" operator="between">
      <formula>0.76</formula>
      <formula>0.95</formula>
    </cfRule>
  </conditionalFormatting>
  <conditionalFormatting sqref="T12">
    <cfRule type="cellIs" dxfId="598" priority="279" operator="between">
      <formula>0.95</formula>
      <formula>1</formula>
    </cfRule>
  </conditionalFormatting>
  <conditionalFormatting sqref="U12">
    <cfRule type="cellIs" dxfId="597" priority="278" operator="greaterThan">
      <formula>1</formula>
    </cfRule>
  </conditionalFormatting>
  <conditionalFormatting sqref="Q13">
    <cfRule type="cellIs" dxfId="596" priority="277" stopIfTrue="1" operator="between">
      <formula>0</formula>
      <formula>0.5</formula>
    </cfRule>
  </conditionalFormatting>
  <conditionalFormatting sqref="R13">
    <cfRule type="cellIs" dxfId="595" priority="276" operator="between">
      <formula>0.51</formula>
      <formula>0.75</formula>
    </cfRule>
  </conditionalFormatting>
  <conditionalFormatting sqref="S13">
    <cfRule type="cellIs" dxfId="594" priority="275" operator="between">
      <formula>0.76</formula>
      <formula>0.95</formula>
    </cfRule>
  </conditionalFormatting>
  <conditionalFormatting sqref="T13">
    <cfRule type="cellIs" dxfId="593" priority="274" operator="between">
      <formula>0.95</formula>
      <formula>1</formula>
    </cfRule>
  </conditionalFormatting>
  <conditionalFormatting sqref="U13">
    <cfRule type="cellIs" dxfId="592" priority="273" operator="greaterThan">
      <formula>1</formula>
    </cfRule>
  </conditionalFormatting>
  <conditionalFormatting sqref="Q14">
    <cfRule type="cellIs" dxfId="591" priority="272" stopIfTrue="1" operator="between">
      <formula>0</formula>
      <formula>0.5</formula>
    </cfRule>
  </conditionalFormatting>
  <conditionalFormatting sqref="R14">
    <cfRule type="cellIs" dxfId="590" priority="271" operator="between">
      <formula>0.51</formula>
      <formula>0.75</formula>
    </cfRule>
  </conditionalFormatting>
  <conditionalFormatting sqref="S14">
    <cfRule type="cellIs" dxfId="589" priority="270" operator="between">
      <formula>0.76</formula>
      <formula>0.95</formula>
    </cfRule>
  </conditionalFormatting>
  <conditionalFormatting sqref="T14">
    <cfRule type="cellIs" dxfId="588" priority="269" operator="between">
      <formula>0.95</formula>
      <formula>1</formula>
    </cfRule>
  </conditionalFormatting>
  <conditionalFormatting sqref="U14">
    <cfRule type="cellIs" dxfId="587" priority="268" operator="greaterThan">
      <formula>1</formula>
    </cfRule>
  </conditionalFormatting>
  <conditionalFormatting sqref="W7">
    <cfRule type="cellIs" dxfId="586" priority="267" stopIfTrue="1" operator="between">
      <formula>0</formula>
      <formula>0.255</formula>
    </cfRule>
  </conditionalFormatting>
  <conditionalFormatting sqref="X7">
    <cfRule type="cellIs" dxfId="585" priority="266" operator="between">
      <formula>0.2551</formula>
      <formula>0.375</formula>
    </cfRule>
  </conditionalFormatting>
  <conditionalFormatting sqref="Y7">
    <cfRule type="cellIs" dxfId="584" priority="265" operator="between">
      <formula>0.3751</formula>
      <formula>0.475</formula>
    </cfRule>
  </conditionalFormatting>
  <conditionalFormatting sqref="Z7">
    <cfRule type="cellIs" dxfId="583" priority="264" operator="between">
      <formula>0.48</formula>
      <formula>0.51</formula>
    </cfRule>
  </conditionalFormatting>
  <conditionalFormatting sqref="AA7">
    <cfRule type="cellIs" dxfId="582" priority="263" operator="greaterThan">
      <formula>0.505</formula>
    </cfRule>
  </conditionalFormatting>
  <conditionalFormatting sqref="W9">
    <cfRule type="cellIs" dxfId="581" priority="262" stopIfTrue="1" operator="between">
      <formula>0</formula>
      <formula>0.255</formula>
    </cfRule>
  </conditionalFormatting>
  <conditionalFormatting sqref="X9">
    <cfRule type="cellIs" dxfId="580" priority="261" operator="between">
      <formula>0.2551</formula>
      <formula>0.375</formula>
    </cfRule>
  </conditionalFormatting>
  <conditionalFormatting sqref="Y9">
    <cfRule type="cellIs" dxfId="579" priority="260" operator="between">
      <formula>0.38</formula>
      <formula>0.475</formula>
    </cfRule>
  </conditionalFormatting>
  <conditionalFormatting sqref="Z9">
    <cfRule type="cellIs" dxfId="578" priority="259" operator="between">
      <formula>0.48</formula>
      <formula>0.51</formula>
    </cfRule>
  </conditionalFormatting>
  <conditionalFormatting sqref="AA9">
    <cfRule type="cellIs" dxfId="577" priority="258" operator="greaterThan">
      <formula>0.505</formula>
    </cfRule>
  </conditionalFormatting>
  <conditionalFormatting sqref="W10">
    <cfRule type="cellIs" dxfId="576" priority="257" stopIfTrue="1" operator="between">
      <formula>0</formula>
      <formula>0.255</formula>
    </cfRule>
  </conditionalFormatting>
  <conditionalFormatting sqref="X10">
    <cfRule type="cellIs" dxfId="575" priority="256" operator="between">
      <formula>0.2551</formula>
      <formula>0.375</formula>
    </cfRule>
  </conditionalFormatting>
  <conditionalFormatting sqref="Y10">
    <cfRule type="cellIs" dxfId="574" priority="255" operator="between">
      <formula>0.38</formula>
      <formula>0.475</formula>
    </cfRule>
  </conditionalFormatting>
  <conditionalFormatting sqref="Z10">
    <cfRule type="cellIs" dxfId="573" priority="254" operator="between">
      <formula>0.48</formula>
      <formula>0.51</formula>
    </cfRule>
  </conditionalFormatting>
  <conditionalFormatting sqref="AA10">
    <cfRule type="cellIs" dxfId="572" priority="253" operator="greaterThan">
      <formula>0.505</formula>
    </cfRule>
  </conditionalFormatting>
  <conditionalFormatting sqref="W11">
    <cfRule type="cellIs" dxfId="571" priority="252" stopIfTrue="1" operator="between">
      <formula>0</formula>
      <formula>0.255</formula>
    </cfRule>
  </conditionalFormatting>
  <conditionalFormatting sqref="X11">
    <cfRule type="cellIs" dxfId="570" priority="251" operator="between">
      <formula>0.2551</formula>
      <formula>0.375</formula>
    </cfRule>
  </conditionalFormatting>
  <conditionalFormatting sqref="Y11">
    <cfRule type="cellIs" dxfId="569" priority="250" operator="between">
      <formula>0.38</formula>
      <formula>0.475</formula>
    </cfRule>
  </conditionalFormatting>
  <conditionalFormatting sqref="Z11">
    <cfRule type="cellIs" dxfId="568" priority="249" operator="between">
      <formula>0.48</formula>
      <formula>0.51</formula>
    </cfRule>
  </conditionalFormatting>
  <conditionalFormatting sqref="AA11">
    <cfRule type="cellIs" dxfId="567" priority="248" operator="greaterThan">
      <formula>0.505</formula>
    </cfRule>
  </conditionalFormatting>
  <conditionalFormatting sqref="W12">
    <cfRule type="cellIs" dxfId="566" priority="247" stopIfTrue="1" operator="between">
      <formula>0</formula>
      <formula>0.255</formula>
    </cfRule>
  </conditionalFormatting>
  <conditionalFormatting sqref="X12">
    <cfRule type="cellIs" dxfId="565" priority="246" operator="between">
      <formula>0.2551</formula>
      <formula>0.375</formula>
    </cfRule>
  </conditionalFormatting>
  <conditionalFormatting sqref="Y12">
    <cfRule type="cellIs" dxfId="564" priority="245" operator="between">
      <formula>0.38</formula>
      <formula>0.475</formula>
    </cfRule>
  </conditionalFormatting>
  <conditionalFormatting sqref="Z12">
    <cfRule type="cellIs" dxfId="563" priority="244" operator="between">
      <formula>0.48</formula>
      <formula>0.51</formula>
    </cfRule>
  </conditionalFormatting>
  <conditionalFormatting sqref="AA12">
    <cfRule type="cellIs" dxfId="562" priority="243" operator="greaterThan">
      <formula>0.505</formula>
    </cfRule>
  </conditionalFormatting>
  <conditionalFormatting sqref="W13">
    <cfRule type="cellIs" dxfId="561" priority="242" stopIfTrue="1" operator="between">
      <formula>0</formula>
      <formula>0.255</formula>
    </cfRule>
  </conditionalFormatting>
  <conditionalFormatting sqref="X13">
    <cfRule type="cellIs" dxfId="560" priority="241" operator="between">
      <formula>0.2551</formula>
      <formula>0.375</formula>
    </cfRule>
  </conditionalFormatting>
  <conditionalFormatting sqref="Y13">
    <cfRule type="cellIs" dxfId="559" priority="240" operator="between">
      <formula>0.38</formula>
      <formula>0.475</formula>
    </cfRule>
  </conditionalFormatting>
  <conditionalFormatting sqref="Z13">
    <cfRule type="cellIs" dxfId="558" priority="239" operator="between">
      <formula>0.48</formula>
      <formula>0.51</formula>
    </cfRule>
  </conditionalFormatting>
  <conditionalFormatting sqref="AA13">
    <cfRule type="cellIs" dxfId="557" priority="238" operator="greaterThan">
      <formula>0.505</formula>
    </cfRule>
  </conditionalFormatting>
  <conditionalFormatting sqref="W14">
    <cfRule type="cellIs" dxfId="556" priority="237" stopIfTrue="1" operator="between">
      <formula>0</formula>
      <formula>0.255</formula>
    </cfRule>
  </conditionalFormatting>
  <conditionalFormatting sqref="X14">
    <cfRule type="cellIs" dxfId="555" priority="236" operator="between">
      <formula>0.2551</formula>
      <formula>0.375</formula>
    </cfRule>
  </conditionalFormatting>
  <conditionalFormatting sqref="Y14">
    <cfRule type="cellIs" dxfId="554" priority="235" operator="between">
      <formula>0.38</formula>
      <formula>0.475</formula>
    </cfRule>
  </conditionalFormatting>
  <conditionalFormatting sqref="Z14">
    <cfRule type="cellIs" dxfId="553" priority="234" operator="between">
      <formula>0.48</formula>
      <formula>0.51</formula>
    </cfRule>
  </conditionalFormatting>
  <conditionalFormatting sqref="AA14">
    <cfRule type="cellIs" dxfId="552" priority="233" operator="greaterThan">
      <formula>0.505</formula>
    </cfRule>
  </conditionalFormatting>
  <conditionalFormatting sqref="AD6">
    <cfRule type="cellIs" dxfId="551" priority="232" stopIfTrue="1" operator="between">
      <formula>0</formula>
      <formula>0.5</formula>
    </cfRule>
  </conditionalFormatting>
  <conditionalFormatting sqref="AE6">
    <cfRule type="cellIs" dxfId="550" priority="231" operator="between">
      <formula>0.51</formula>
      <formula>0.75</formula>
    </cfRule>
  </conditionalFormatting>
  <conditionalFormatting sqref="AF6">
    <cfRule type="cellIs" dxfId="549" priority="230" operator="between">
      <formula>0.76</formula>
      <formula>0.95</formula>
    </cfRule>
  </conditionalFormatting>
  <conditionalFormatting sqref="AG6">
    <cfRule type="cellIs" dxfId="548" priority="229" operator="between">
      <formula>0.95</formula>
      <formula>1</formula>
    </cfRule>
  </conditionalFormatting>
  <conditionalFormatting sqref="AH6">
    <cfRule type="cellIs" dxfId="547" priority="228" operator="greaterThan">
      <formula>1</formula>
    </cfRule>
  </conditionalFormatting>
  <conditionalFormatting sqref="AD7">
    <cfRule type="cellIs" dxfId="546" priority="227" stopIfTrue="1" operator="between">
      <formula>0</formula>
      <formula>0.5</formula>
    </cfRule>
  </conditionalFormatting>
  <conditionalFormatting sqref="AE7">
    <cfRule type="cellIs" dxfId="545" priority="226" operator="between">
      <formula>0.51</formula>
      <formula>0.75</formula>
    </cfRule>
  </conditionalFormatting>
  <conditionalFormatting sqref="AF7">
    <cfRule type="cellIs" dxfId="544" priority="225" operator="between">
      <formula>0.76</formula>
      <formula>0.95</formula>
    </cfRule>
  </conditionalFormatting>
  <conditionalFormatting sqref="AG7">
    <cfRule type="cellIs" dxfId="543" priority="224" operator="between">
      <formula>0.95</formula>
      <formula>1</formula>
    </cfRule>
  </conditionalFormatting>
  <conditionalFormatting sqref="AH7">
    <cfRule type="cellIs" dxfId="542" priority="223" operator="greaterThan">
      <formula>1</formula>
    </cfRule>
  </conditionalFormatting>
  <conditionalFormatting sqref="AD8">
    <cfRule type="cellIs" dxfId="541" priority="222" stopIfTrue="1" operator="between">
      <formula>0</formula>
      <formula>0.5</formula>
    </cfRule>
  </conditionalFormatting>
  <conditionalFormatting sqref="AE8">
    <cfRule type="cellIs" dxfId="540" priority="221" operator="between">
      <formula>0.51</formula>
      <formula>0.75</formula>
    </cfRule>
  </conditionalFormatting>
  <conditionalFormatting sqref="AF8">
    <cfRule type="cellIs" dxfId="539" priority="220" operator="between">
      <formula>0.76</formula>
      <formula>0.95</formula>
    </cfRule>
  </conditionalFormatting>
  <conditionalFormatting sqref="AG8">
    <cfRule type="cellIs" dxfId="538" priority="219" operator="between">
      <formula>0.95</formula>
      <formula>1</formula>
    </cfRule>
  </conditionalFormatting>
  <conditionalFormatting sqref="AH8">
    <cfRule type="cellIs" dxfId="537" priority="218" operator="greaterThan">
      <formula>1</formula>
    </cfRule>
  </conditionalFormatting>
  <conditionalFormatting sqref="AD9">
    <cfRule type="cellIs" dxfId="536" priority="217" stopIfTrue="1" operator="between">
      <formula>0</formula>
      <formula>0.5</formula>
    </cfRule>
  </conditionalFormatting>
  <conditionalFormatting sqref="AE9">
    <cfRule type="cellIs" dxfId="535" priority="216" operator="between">
      <formula>0.51</formula>
      <formula>0.75</formula>
    </cfRule>
  </conditionalFormatting>
  <conditionalFormatting sqref="AF9">
    <cfRule type="cellIs" dxfId="534" priority="215" operator="between">
      <formula>0.76</formula>
      <formula>0.95</formula>
    </cfRule>
  </conditionalFormatting>
  <conditionalFormatting sqref="AG9">
    <cfRule type="cellIs" dxfId="533" priority="214" operator="between">
      <formula>0.95</formula>
      <formula>1</formula>
    </cfRule>
  </conditionalFormatting>
  <conditionalFormatting sqref="AH9">
    <cfRule type="cellIs" dxfId="532" priority="213" operator="greaterThan">
      <formula>1</formula>
    </cfRule>
  </conditionalFormatting>
  <conditionalFormatting sqref="AD10">
    <cfRule type="cellIs" dxfId="531" priority="212" stopIfTrue="1" operator="between">
      <formula>0</formula>
      <formula>0.5</formula>
    </cfRule>
  </conditionalFormatting>
  <conditionalFormatting sqref="AE10">
    <cfRule type="cellIs" dxfId="530" priority="211" operator="between">
      <formula>0.51</formula>
      <formula>0.75</formula>
    </cfRule>
  </conditionalFormatting>
  <conditionalFormatting sqref="AF10">
    <cfRule type="cellIs" dxfId="529" priority="210" operator="between">
      <formula>0.76</formula>
      <formula>0.95</formula>
    </cfRule>
  </conditionalFormatting>
  <conditionalFormatting sqref="AG10">
    <cfRule type="cellIs" dxfId="528" priority="209" operator="between">
      <formula>0.95</formula>
      <formula>1</formula>
    </cfRule>
  </conditionalFormatting>
  <conditionalFormatting sqref="AH10">
    <cfRule type="cellIs" dxfId="527" priority="208" operator="greaterThan">
      <formula>1</formula>
    </cfRule>
  </conditionalFormatting>
  <conditionalFormatting sqref="AD11">
    <cfRule type="cellIs" dxfId="526" priority="207" stopIfTrue="1" operator="between">
      <formula>0</formula>
      <formula>0.5</formula>
    </cfRule>
  </conditionalFormatting>
  <conditionalFormatting sqref="AE11">
    <cfRule type="cellIs" dxfId="525" priority="206" operator="between">
      <formula>0.51</formula>
      <formula>0.75</formula>
    </cfRule>
  </conditionalFormatting>
  <conditionalFormatting sqref="AF11">
    <cfRule type="cellIs" dxfId="524" priority="205" operator="between">
      <formula>0.76</formula>
      <formula>0.95</formula>
    </cfRule>
  </conditionalFormatting>
  <conditionalFormatting sqref="AG11">
    <cfRule type="cellIs" dxfId="523" priority="204" operator="between">
      <formula>0.95</formula>
      <formula>1</formula>
    </cfRule>
  </conditionalFormatting>
  <conditionalFormatting sqref="AH11">
    <cfRule type="cellIs" dxfId="522" priority="203" operator="greaterThan">
      <formula>1</formula>
    </cfRule>
  </conditionalFormatting>
  <conditionalFormatting sqref="AD12">
    <cfRule type="cellIs" dxfId="521" priority="202" stopIfTrue="1" operator="between">
      <formula>0</formula>
      <formula>0.5</formula>
    </cfRule>
  </conditionalFormatting>
  <conditionalFormatting sqref="AE12">
    <cfRule type="cellIs" dxfId="520" priority="201" operator="between">
      <formula>0.51</formula>
      <formula>0.75</formula>
    </cfRule>
  </conditionalFormatting>
  <conditionalFormatting sqref="AF12">
    <cfRule type="cellIs" dxfId="519" priority="200" operator="between">
      <formula>0.76</formula>
      <formula>0.95</formula>
    </cfRule>
  </conditionalFormatting>
  <conditionalFormatting sqref="AG12">
    <cfRule type="cellIs" dxfId="518" priority="199" operator="between">
      <formula>0.95</formula>
      <formula>1</formula>
    </cfRule>
  </conditionalFormatting>
  <conditionalFormatting sqref="AH12">
    <cfRule type="cellIs" dxfId="517" priority="198" operator="greaterThan">
      <formula>1</formula>
    </cfRule>
  </conditionalFormatting>
  <conditionalFormatting sqref="AD13">
    <cfRule type="cellIs" dxfId="516" priority="197" stopIfTrue="1" operator="between">
      <formula>0</formula>
      <formula>0.5</formula>
    </cfRule>
  </conditionalFormatting>
  <conditionalFormatting sqref="AE13">
    <cfRule type="cellIs" dxfId="515" priority="196" operator="between">
      <formula>0.51</formula>
      <formula>0.75</formula>
    </cfRule>
  </conditionalFormatting>
  <conditionalFormatting sqref="AF13">
    <cfRule type="cellIs" dxfId="514" priority="195" operator="between">
      <formula>0.76</formula>
      <formula>0.95</formula>
    </cfRule>
  </conditionalFormatting>
  <conditionalFormatting sqref="AG13">
    <cfRule type="cellIs" dxfId="513" priority="194" operator="between">
      <formula>0.95</formula>
      <formula>1</formula>
    </cfRule>
  </conditionalFormatting>
  <conditionalFormatting sqref="AH13">
    <cfRule type="cellIs" dxfId="512" priority="193" operator="greaterThan">
      <formula>1</formula>
    </cfRule>
  </conditionalFormatting>
  <conditionalFormatting sqref="AD14">
    <cfRule type="cellIs" dxfId="511" priority="192" stopIfTrue="1" operator="between">
      <formula>0</formula>
      <formula>0.5</formula>
    </cfRule>
  </conditionalFormatting>
  <conditionalFormatting sqref="AE14">
    <cfRule type="cellIs" dxfId="510" priority="191" operator="between">
      <formula>0.51</formula>
      <formula>0.75</formula>
    </cfRule>
  </conditionalFormatting>
  <conditionalFormatting sqref="AF14">
    <cfRule type="cellIs" dxfId="509" priority="190" operator="between">
      <formula>0.76</formula>
      <formula>0.95</formula>
    </cfRule>
  </conditionalFormatting>
  <conditionalFormatting sqref="AG14">
    <cfRule type="cellIs" dxfId="508" priority="189" operator="between">
      <formula>0.95</formula>
      <formula>1</formula>
    </cfRule>
  </conditionalFormatting>
  <conditionalFormatting sqref="AH14">
    <cfRule type="cellIs" dxfId="507" priority="188" operator="greaterThan">
      <formula>1</formula>
    </cfRule>
  </conditionalFormatting>
  <conditionalFormatting sqref="AJ7">
    <cfRule type="cellIs" dxfId="506" priority="182" stopIfTrue="1" operator="between">
      <formula>0</formula>
      <formula>0.375</formula>
    </cfRule>
  </conditionalFormatting>
  <conditionalFormatting sqref="AK7">
    <cfRule type="cellIs" dxfId="505" priority="181" operator="between">
      <formula>0.3751</formula>
      <formula>0.5625</formula>
    </cfRule>
  </conditionalFormatting>
  <conditionalFormatting sqref="AL7">
    <cfRule type="cellIs" dxfId="504" priority="180" operator="between">
      <formula>0.563</formula>
      <formula>0.7125</formula>
    </cfRule>
  </conditionalFormatting>
  <conditionalFormatting sqref="AM7">
    <cfRule type="cellIs" dxfId="503" priority="179" operator="between">
      <formula>0.713</formula>
      <formula>0.75</formula>
    </cfRule>
  </conditionalFormatting>
  <conditionalFormatting sqref="AN7">
    <cfRule type="cellIs" dxfId="502" priority="178" operator="greaterThan">
      <formula>0.755</formula>
    </cfRule>
  </conditionalFormatting>
  <conditionalFormatting sqref="AJ8">
    <cfRule type="cellIs" dxfId="501" priority="177" stopIfTrue="1" operator="between">
      <formula>0</formula>
      <formula>0.375</formula>
    </cfRule>
  </conditionalFormatting>
  <conditionalFormatting sqref="AK8">
    <cfRule type="cellIs" dxfId="500" priority="176" operator="between">
      <formula>0.3751</formula>
      <formula>0.5625</formula>
    </cfRule>
  </conditionalFormatting>
  <conditionalFormatting sqref="AL8">
    <cfRule type="cellIs" dxfId="499" priority="175" operator="between">
      <formula>0.563</formula>
      <formula>0.7125</formula>
    </cfRule>
  </conditionalFormatting>
  <conditionalFormatting sqref="AM8">
    <cfRule type="cellIs" dxfId="498" priority="174" operator="between">
      <formula>0.713</formula>
      <formula>0.75</formula>
    </cfRule>
  </conditionalFormatting>
  <conditionalFormatting sqref="AN8">
    <cfRule type="cellIs" dxfId="497" priority="173" operator="greaterThan">
      <formula>0.755</formula>
    </cfRule>
  </conditionalFormatting>
  <conditionalFormatting sqref="AJ9">
    <cfRule type="cellIs" dxfId="496" priority="172" stopIfTrue="1" operator="between">
      <formula>0</formula>
      <formula>0.375</formula>
    </cfRule>
  </conditionalFormatting>
  <conditionalFormatting sqref="AK9">
    <cfRule type="cellIs" dxfId="495" priority="171" operator="between">
      <formula>0.3751</formula>
      <formula>0.5625</formula>
    </cfRule>
  </conditionalFormatting>
  <conditionalFormatting sqref="AL9">
    <cfRule type="cellIs" dxfId="494" priority="170" operator="between">
      <formula>0.563</formula>
      <formula>0.7125</formula>
    </cfRule>
  </conditionalFormatting>
  <conditionalFormatting sqref="AM9">
    <cfRule type="cellIs" dxfId="493" priority="169" operator="between">
      <formula>0.713</formula>
      <formula>0.75</formula>
    </cfRule>
  </conditionalFormatting>
  <conditionalFormatting sqref="AN9">
    <cfRule type="cellIs" dxfId="492" priority="168" operator="greaterThan">
      <formula>0.755</formula>
    </cfRule>
  </conditionalFormatting>
  <conditionalFormatting sqref="AJ10">
    <cfRule type="cellIs" dxfId="491" priority="167" stopIfTrue="1" operator="between">
      <formula>0</formula>
      <formula>0.375</formula>
    </cfRule>
  </conditionalFormatting>
  <conditionalFormatting sqref="AK10">
    <cfRule type="cellIs" dxfId="490" priority="166" operator="between">
      <formula>0.3751</formula>
      <formula>0.5625</formula>
    </cfRule>
  </conditionalFormatting>
  <conditionalFormatting sqref="AL10">
    <cfRule type="cellIs" dxfId="489" priority="165" operator="between">
      <formula>0.563</formula>
      <formula>0.7125</formula>
    </cfRule>
  </conditionalFormatting>
  <conditionalFormatting sqref="AM10">
    <cfRule type="cellIs" dxfId="488" priority="164" operator="between">
      <formula>0.71251</formula>
      <formula>0.75</formula>
    </cfRule>
  </conditionalFormatting>
  <conditionalFormatting sqref="AN10">
    <cfRule type="cellIs" dxfId="487" priority="163" operator="greaterThan">
      <formula>0.755</formula>
    </cfRule>
  </conditionalFormatting>
  <conditionalFormatting sqref="AJ11">
    <cfRule type="cellIs" dxfId="486" priority="162" stopIfTrue="1" operator="between">
      <formula>0</formula>
      <formula>0.375</formula>
    </cfRule>
  </conditionalFormatting>
  <conditionalFormatting sqref="AK11">
    <cfRule type="cellIs" dxfId="485" priority="161" operator="between">
      <formula>0.3751</formula>
      <formula>0.5625</formula>
    </cfRule>
  </conditionalFormatting>
  <conditionalFormatting sqref="AL11">
    <cfRule type="cellIs" dxfId="484" priority="160" operator="between">
      <formula>0.563</formula>
      <formula>0.7125</formula>
    </cfRule>
  </conditionalFormatting>
  <conditionalFormatting sqref="AM11">
    <cfRule type="cellIs" dxfId="483" priority="159" operator="between">
      <formula>0.713</formula>
      <formula>0.75</formula>
    </cfRule>
  </conditionalFormatting>
  <conditionalFormatting sqref="AN11">
    <cfRule type="cellIs" dxfId="482" priority="158" operator="greaterThan">
      <formula>0.755</formula>
    </cfRule>
  </conditionalFormatting>
  <conditionalFormatting sqref="AJ12">
    <cfRule type="cellIs" dxfId="481" priority="157" stopIfTrue="1" operator="between">
      <formula>0</formula>
      <formula>0.375</formula>
    </cfRule>
  </conditionalFormatting>
  <conditionalFormatting sqref="AK12">
    <cfRule type="cellIs" dxfId="480" priority="156" operator="between">
      <formula>0.3751</formula>
      <formula>0.5625</formula>
    </cfRule>
  </conditionalFormatting>
  <conditionalFormatting sqref="AL12">
    <cfRule type="cellIs" dxfId="479" priority="155" operator="between">
      <formula>0.563</formula>
      <formula>0.7125</formula>
    </cfRule>
  </conditionalFormatting>
  <conditionalFormatting sqref="AM12">
    <cfRule type="cellIs" dxfId="478" priority="154" operator="between">
      <formula>0.713</formula>
      <formula>0.75</formula>
    </cfRule>
  </conditionalFormatting>
  <conditionalFormatting sqref="AN12">
    <cfRule type="cellIs" dxfId="477" priority="153" operator="greaterThan">
      <formula>0.755</formula>
    </cfRule>
  </conditionalFormatting>
  <conditionalFormatting sqref="AJ13">
    <cfRule type="cellIs" dxfId="476" priority="152" stopIfTrue="1" operator="between">
      <formula>0</formula>
      <formula>0.375</formula>
    </cfRule>
  </conditionalFormatting>
  <conditionalFormatting sqref="AK13">
    <cfRule type="cellIs" dxfId="475" priority="151" operator="between">
      <formula>0.3751</formula>
      <formula>0.5625</formula>
    </cfRule>
  </conditionalFormatting>
  <conditionalFormatting sqref="AL13">
    <cfRule type="cellIs" dxfId="474" priority="150" operator="between">
      <formula>0.563</formula>
      <formula>0.7125</formula>
    </cfRule>
  </conditionalFormatting>
  <conditionalFormatting sqref="AM13">
    <cfRule type="cellIs" dxfId="473" priority="149" operator="between">
      <formula>0.713</formula>
      <formula>0.75</formula>
    </cfRule>
  </conditionalFormatting>
  <conditionalFormatting sqref="AN13">
    <cfRule type="cellIs" dxfId="472" priority="148" operator="greaterThan">
      <formula>0.755</formula>
    </cfRule>
  </conditionalFormatting>
  <conditionalFormatting sqref="AJ14">
    <cfRule type="cellIs" dxfId="471" priority="147" stopIfTrue="1" operator="between">
      <formula>0</formula>
      <formula>0.375</formula>
    </cfRule>
  </conditionalFormatting>
  <conditionalFormatting sqref="AK14">
    <cfRule type="cellIs" dxfId="470" priority="146" operator="between">
      <formula>0.3751</formula>
      <formula>0.5625</formula>
    </cfRule>
  </conditionalFormatting>
  <conditionalFormatting sqref="AL14">
    <cfRule type="cellIs" dxfId="469" priority="145" operator="between">
      <formula>0.563</formula>
      <formula>0.7125</formula>
    </cfRule>
  </conditionalFormatting>
  <conditionalFormatting sqref="AM14">
    <cfRule type="cellIs" dxfId="468" priority="144" operator="between">
      <formula>0.713</formula>
      <formula>0.75</formula>
    </cfRule>
  </conditionalFormatting>
  <conditionalFormatting sqref="AN14">
    <cfRule type="cellIs" dxfId="467" priority="143" operator="greaterThan">
      <formula>0.755</formula>
    </cfRule>
  </conditionalFormatting>
  <conditionalFormatting sqref="AQ6">
    <cfRule type="cellIs" dxfId="466" priority="142" stopIfTrue="1" operator="between">
      <formula>0</formula>
      <formula>0.5</formula>
    </cfRule>
  </conditionalFormatting>
  <conditionalFormatting sqref="AR6">
    <cfRule type="cellIs" dxfId="465" priority="141" operator="between">
      <formula>0.51</formula>
      <formula>0.75</formula>
    </cfRule>
  </conditionalFormatting>
  <conditionalFormatting sqref="AS6">
    <cfRule type="cellIs" dxfId="464" priority="140" operator="between">
      <formula>0.76</formula>
      <formula>0.95</formula>
    </cfRule>
  </conditionalFormatting>
  <conditionalFormatting sqref="AT6">
    <cfRule type="cellIs" dxfId="463" priority="139" operator="between">
      <formula>0.95</formula>
      <formula>1</formula>
    </cfRule>
  </conditionalFormatting>
  <conditionalFormatting sqref="AU6">
    <cfRule type="cellIs" dxfId="462" priority="138" operator="greaterThan">
      <formula>1</formula>
    </cfRule>
  </conditionalFormatting>
  <conditionalFormatting sqref="AQ7">
    <cfRule type="cellIs" dxfId="461" priority="137" stopIfTrue="1" operator="between">
      <formula>0</formula>
      <formula>0.5</formula>
    </cfRule>
  </conditionalFormatting>
  <conditionalFormatting sqref="AR7">
    <cfRule type="cellIs" dxfId="460" priority="136" operator="between">
      <formula>0.51</formula>
      <formula>0.75</formula>
    </cfRule>
  </conditionalFormatting>
  <conditionalFormatting sqref="AS7">
    <cfRule type="cellIs" dxfId="459" priority="135" operator="between">
      <formula>0.76</formula>
      <formula>0.95</formula>
    </cfRule>
  </conditionalFormatting>
  <conditionalFormatting sqref="AT7">
    <cfRule type="cellIs" dxfId="458" priority="134" operator="between">
      <formula>0.95</formula>
      <formula>1</formula>
    </cfRule>
  </conditionalFormatting>
  <conditionalFormatting sqref="AU7">
    <cfRule type="cellIs" dxfId="457" priority="133" operator="greaterThan">
      <formula>1</formula>
    </cfRule>
  </conditionalFormatting>
  <conditionalFormatting sqref="AQ8">
    <cfRule type="cellIs" dxfId="456" priority="132" stopIfTrue="1" operator="between">
      <formula>0</formula>
      <formula>0.5</formula>
    </cfRule>
  </conditionalFormatting>
  <conditionalFormatting sqref="AR8">
    <cfRule type="cellIs" dxfId="455" priority="131" operator="between">
      <formula>0.51</formula>
      <formula>0.75</formula>
    </cfRule>
  </conditionalFormatting>
  <conditionalFormatting sqref="AS8">
    <cfRule type="cellIs" dxfId="454" priority="130" operator="between">
      <formula>0.76</formula>
      <formula>0.95</formula>
    </cfRule>
  </conditionalFormatting>
  <conditionalFormatting sqref="AT8">
    <cfRule type="cellIs" dxfId="453" priority="129" operator="between">
      <formula>0.95</formula>
      <formula>1</formula>
    </cfRule>
  </conditionalFormatting>
  <conditionalFormatting sqref="AU8">
    <cfRule type="cellIs" dxfId="452" priority="128" operator="greaterThan">
      <formula>1</formula>
    </cfRule>
  </conditionalFormatting>
  <conditionalFormatting sqref="AQ9">
    <cfRule type="cellIs" dxfId="451" priority="127" stopIfTrue="1" operator="between">
      <formula>0</formula>
      <formula>0.5</formula>
    </cfRule>
  </conditionalFormatting>
  <conditionalFormatting sqref="AR9">
    <cfRule type="cellIs" dxfId="450" priority="126" operator="between">
      <formula>0.51</formula>
      <formula>0.75</formula>
    </cfRule>
  </conditionalFormatting>
  <conditionalFormatting sqref="AS9">
    <cfRule type="cellIs" dxfId="449" priority="125" operator="between">
      <formula>0.76</formula>
      <formula>0.95</formula>
    </cfRule>
  </conditionalFormatting>
  <conditionalFormatting sqref="AT9">
    <cfRule type="cellIs" dxfId="448" priority="124" operator="between">
      <formula>0.95</formula>
      <formula>1</formula>
    </cfRule>
  </conditionalFormatting>
  <conditionalFormatting sqref="AU9">
    <cfRule type="cellIs" dxfId="447" priority="123" operator="greaterThan">
      <formula>1</formula>
    </cfRule>
  </conditionalFormatting>
  <conditionalFormatting sqref="AQ10">
    <cfRule type="cellIs" dxfId="446" priority="122" stopIfTrue="1" operator="between">
      <formula>0</formula>
      <formula>0.5</formula>
    </cfRule>
  </conditionalFormatting>
  <conditionalFormatting sqref="AR10">
    <cfRule type="cellIs" dxfId="445" priority="121" operator="between">
      <formula>0.51</formula>
      <formula>0.75</formula>
    </cfRule>
  </conditionalFormatting>
  <conditionalFormatting sqref="AS10">
    <cfRule type="cellIs" dxfId="444" priority="120" operator="between">
      <formula>0.76</formula>
      <formula>0.95</formula>
    </cfRule>
  </conditionalFormatting>
  <conditionalFormatting sqref="AT10">
    <cfRule type="cellIs" dxfId="443" priority="119" operator="between">
      <formula>0.95</formula>
      <formula>1</formula>
    </cfRule>
  </conditionalFormatting>
  <conditionalFormatting sqref="AU10">
    <cfRule type="cellIs" dxfId="442" priority="118" operator="greaterThan">
      <formula>1</formula>
    </cfRule>
  </conditionalFormatting>
  <conditionalFormatting sqref="AQ11">
    <cfRule type="cellIs" dxfId="441" priority="117" stopIfTrue="1" operator="between">
      <formula>0</formula>
      <formula>0.5</formula>
    </cfRule>
  </conditionalFormatting>
  <conditionalFormatting sqref="AR11">
    <cfRule type="cellIs" dxfId="440" priority="116" operator="between">
      <formula>0.51</formula>
      <formula>0.75</formula>
    </cfRule>
  </conditionalFormatting>
  <conditionalFormatting sqref="AS11">
    <cfRule type="cellIs" dxfId="439" priority="115" operator="between">
      <formula>0.76</formula>
      <formula>0.95</formula>
    </cfRule>
  </conditionalFormatting>
  <conditionalFormatting sqref="AT11">
    <cfRule type="cellIs" dxfId="438" priority="114" operator="between">
      <formula>0.95</formula>
      <formula>1</formula>
    </cfRule>
  </conditionalFormatting>
  <conditionalFormatting sqref="AU11">
    <cfRule type="cellIs" dxfId="437" priority="113" operator="greaterThan">
      <formula>1</formula>
    </cfRule>
  </conditionalFormatting>
  <conditionalFormatting sqref="AQ12">
    <cfRule type="cellIs" dxfId="436" priority="112" stopIfTrue="1" operator="between">
      <formula>0</formula>
      <formula>0.5</formula>
    </cfRule>
  </conditionalFormatting>
  <conditionalFormatting sqref="AR12">
    <cfRule type="cellIs" dxfId="435" priority="111" operator="between">
      <formula>0.51</formula>
      <formula>0.75</formula>
    </cfRule>
  </conditionalFormatting>
  <conditionalFormatting sqref="AS12">
    <cfRule type="cellIs" dxfId="434" priority="110" operator="between">
      <formula>0.76</formula>
      <formula>0.95</formula>
    </cfRule>
  </conditionalFormatting>
  <conditionalFormatting sqref="AT12">
    <cfRule type="cellIs" dxfId="433" priority="109" operator="between">
      <formula>0.95</formula>
      <formula>1</formula>
    </cfRule>
  </conditionalFormatting>
  <conditionalFormatting sqref="AU12">
    <cfRule type="cellIs" dxfId="432" priority="108" operator="greaterThan">
      <formula>1</formula>
    </cfRule>
  </conditionalFormatting>
  <conditionalFormatting sqref="AQ13">
    <cfRule type="cellIs" dxfId="431" priority="107" stopIfTrue="1" operator="between">
      <formula>0</formula>
      <formula>0.5</formula>
    </cfRule>
  </conditionalFormatting>
  <conditionalFormatting sqref="AR13">
    <cfRule type="cellIs" dxfId="430" priority="106" operator="between">
      <formula>0.51</formula>
      <formula>0.75</formula>
    </cfRule>
  </conditionalFormatting>
  <conditionalFormatting sqref="AS13">
    <cfRule type="cellIs" dxfId="429" priority="105" operator="between">
      <formula>0.76</formula>
      <formula>0.95</formula>
    </cfRule>
  </conditionalFormatting>
  <conditionalFormatting sqref="AT13">
    <cfRule type="cellIs" dxfId="428" priority="104" operator="between">
      <formula>0.95</formula>
      <formula>1</formula>
    </cfRule>
  </conditionalFormatting>
  <conditionalFormatting sqref="AU13">
    <cfRule type="cellIs" dxfId="427" priority="103" operator="greaterThan">
      <formula>1</formula>
    </cfRule>
  </conditionalFormatting>
  <conditionalFormatting sqref="AQ14">
    <cfRule type="cellIs" dxfId="426" priority="102" stopIfTrue="1" operator="between">
      <formula>0</formula>
      <formula>0.5</formula>
    </cfRule>
  </conditionalFormatting>
  <conditionalFormatting sqref="AR14">
    <cfRule type="cellIs" dxfId="425" priority="101" operator="between">
      <formula>0.51</formula>
      <formula>0.75</formula>
    </cfRule>
  </conditionalFormatting>
  <conditionalFormatting sqref="AS14">
    <cfRule type="cellIs" dxfId="424" priority="100" operator="between">
      <formula>0.76</formula>
      <formula>0.95</formula>
    </cfRule>
  </conditionalFormatting>
  <conditionalFormatting sqref="AT14">
    <cfRule type="cellIs" dxfId="423" priority="99" operator="between">
      <formula>0.95</formula>
      <formula>1</formula>
    </cfRule>
  </conditionalFormatting>
  <conditionalFormatting sqref="AU14">
    <cfRule type="cellIs" dxfId="422" priority="98" operator="greaterThan">
      <formula>1</formula>
    </cfRule>
  </conditionalFormatting>
  <conditionalFormatting sqref="AX6">
    <cfRule type="cellIs" dxfId="421" priority="97" operator="between">
      <formula>0.501</formula>
      <formula>0.75</formula>
    </cfRule>
  </conditionalFormatting>
  <conditionalFormatting sqref="AY6">
    <cfRule type="cellIs" dxfId="420" priority="96" operator="between">
      <formula>0.76</formula>
      <formula>0.95</formula>
    </cfRule>
  </conditionalFormatting>
  <conditionalFormatting sqref="AZ6">
    <cfRule type="cellIs" dxfId="419" priority="95" operator="between">
      <formula>0.95</formula>
      <formula>1</formula>
    </cfRule>
  </conditionalFormatting>
  <conditionalFormatting sqref="BA6">
    <cfRule type="cellIs" dxfId="418" priority="94" operator="greaterThan">
      <formula>1</formula>
    </cfRule>
  </conditionalFormatting>
  <conditionalFormatting sqref="AW6">
    <cfRule type="cellIs" dxfId="417" priority="93" stopIfTrue="1" operator="between">
      <formula>0</formula>
      <formula>0.5</formula>
    </cfRule>
  </conditionalFormatting>
  <conditionalFormatting sqref="AX7">
    <cfRule type="cellIs" dxfId="416" priority="92" operator="between">
      <formula>0.501</formula>
      <formula>0.75</formula>
    </cfRule>
  </conditionalFormatting>
  <conditionalFormatting sqref="AY7">
    <cfRule type="cellIs" dxfId="415" priority="91" operator="between">
      <formula>0.76</formula>
      <formula>0.95</formula>
    </cfRule>
  </conditionalFormatting>
  <conditionalFormatting sqref="AZ7">
    <cfRule type="cellIs" dxfId="414" priority="90" operator="between">
      <formula>0.95</formula>
      <formula>1</formula>
    </cfRule>
  </conditionalFormatting>
  <conditionalFormatting sqref="BA7">
    <cfRule type="cellIs" dxfId="413" priority="89" operator="greaterThan">
      <formula>1</formula>
    </cfRule>
  </conditionalFormatting>
  <conditionalFormatting sqref="AW7">
    <cfRule type="cellIs" dxfId="412" priority="88" stopIfTrue="1" operator="between">
      <formula>0</formula>
      <formula>0.5</formula>
    </cfRule>
  </conditionalFormatting>
  <conditionalFormatting sqref="AX8">
    <cfRule type="cellIs" dxfId="411" priority="87" operator="between">
      <formula>0.501</formula>
      <formula>0.75</formula>
    </cfRule>
  </conditionalFormatting>
  <conditionalFormatting sqref="AY8">
    <cfRule type="cellIs" dxfId="410" priority="86" operator="between">
      <formula>0.76</formula>
      <formula>0.95</formula>
    </cfRule>
  </conditionalFormatting>
  <conditionalFormatting sqref="AZ8">
    <cfRule type="cellIs" dxfId="409" priority="85" operator="between">
      <formula>0.95</formula>
      <formula>1</formula>
    </cfRule>
  </conditionalFormatting>
  <conditionalFormatting sqref="BA8">
    <cfRule type="cellIs" dxfId="408" priority="84" operator="greaterThan">
      <formula>1</formula>
    </cfRule>
  </conditionalFormatting>
  <conditionalFormatting sqref="AW8">
    <cfRule type="cellIs" dxfId="407" priority="83" stopIfTrue="1" operator="between">
      <formula>0</formula>
      <formula>0.5</formula>
    </cfRule>
  </conditionalFormatting>
  <conditionalFormatting sqref="AX9">
    <cfRule type="cellIs" dxfId="406" priority="82" operator="between">
      <formula>0.501</formula>
      <formula>0.75</formula>
    </cfRule>
  </conditionalFormatting>
  <conditionalFormatting sqref="AY9">
    <cfRule type="cellIs" dxfId="405" priority="81" operator="between">
      <formula>0.76</formula>
      <formula>0.95</formula>
    </cfRule>
  </conditionalFormatting>
  <conditionalFormatting sqref="AZ9">
    <cfRule type="cellIs" dxfId="404" priority="80" operator="between">
      <formula>0.95</formula>
      <formula>1</formula>
    </cfRule>
  </conditionalFormatting>
  <conditionalFormatting sqref="BA9">
    <cfRule type="cellIs" dxfId="403" priority="79" operator="greaterThan">
      <formula>1</formula>
    </cfRule>
  </conditionalFormatting>
  <conditionalFormatting sqref="AW9">
    <cfRule type="cellIs" dxfId="402" priority="78" stopIfTrue="1" operator="between">
      <formula>0</formula>
      <formula>0.5</formula>
    </cfRule>
  </conditionalFormatting>
  <conditionalFormatting sqref="AX10">
    <cfRule type="cellIs" dxfId="401" priority="77" operator="between">
      <formula>0.501</formula>
      <formula>0.75</formula>
    </cfRule>
  </conditionalFormatting>
  <conditionalFormatting sqref="AY10">
    <cfRule type="cellIs" dxfId="400" priority="76" operator="between">
      <formula>0.76</formula>
      <formula>0.95</formula>
    </cfRule>
  </conditionalFormatting>
  <conditionalFormatting sqref="AZ10">
    <cfRule type="cellIs" dxfId="399" priority="75" operator="between">
      <formula>0.95</formula>
      <formula>1</formula>
    </cfRule>
  </conditionalFormatting>
  <conditionalFormatting sqref="BA10">
    <cfRule type="cellIs" dxfId="398" priority="74" operator="greaterThan">
      <formula>1</formula>
    </cfRule>
  </conditionalFormatting>
  <conditionalFormatting sqref="AW10">
    <cfRule type="cellIs" dxfId="397" priority="73" stopIfTrue="1" operator="between">
      <formula>0</formula>
      <formula>0.5</formula>
    </cfRule>
  </conditionalFormatting>
  <conditionalFormatting sqref="AX11">
    <cfRule type="cellIs" dxfId="396" priority="72" operator="between">
      <formula>0.501</formula>
      <formula>0.75</formula>
    </cfRule>
  </conditionalFormatting>
  <conditionalFormatting sqref="AY11">
    <cfRule type="cellIs" dxfId="395" priority="71" operator="between">
      <formula>0.76</formula>
      <formula>0.95</formula>
    </cfRule>
  </conditionalFormatting>
  <conditionalFormatting sqref="AZ11">
    <cfRule type="cellIs" dxfId="394" priority="70" operator="between">
      <formula>0.95</formula>
      <formula>1</formula>
    </cfRule>
  </conditionalFormatting>
  <conditionalFormatting sqref="BA11">
    <cfRule type="cellIs" dxfId="393" priority="69" operator="greaterThan">
      <formula>1</formula>
    </cfRule>
  </conditionalFormatting>
  <conditionalFormatting sqref="AW11">
    <cfRule type="cellIs" dxfId="392" priority="68" stopIfTrue="1" operator="between">
      <formula>0</formula>
      <formula>0.5</formula>
    </cfRule>
  </conditionalFormatting>
  <conditionalFormatting sqref="AX12">
    <cfRule type="cellIs" dxfId="391" priority="67" operator="between">
      <formula>0.501</formula>
      <formula>0.75</formula>
    </cfRule>
  </conditionalFormatting>
  <conditionalFormatting sqref="AY12">
    <cfRule type="cellIs" dxfId="390" priority="66" operator="between">
      <formula>0.76</formula>
      <formula>0.95</formula>
    </cfRule>
  </conditionalFormatting>
  <conditionalFormatting sqref="AZ12">
    <cfRule type="cellIs" dxfId="389" priority="65" operator="between">
      <formula>0.95</formula>
      <formula>1</formula>
    </cfRule>
  </conditionalFormatting>
  <conditionalFormatting sqref="BA12">
    <cfRule type="cellIs" dxfId="388" priority="64" operator="greaterThan">
      <formula>1</formula>
    </cfRule>
  </conditionalFormatting>
  <conditionalFormatting sqref="AW12">
    <cfRule type="cellIs" dxfId="387" priority="63" stopIfTrue="1" operator="between">
      <formula>0</formula>
      <formula>0.5</formula>
    </cfRule>
  </conditionalFormatting>
  <conditionalFormatting sqref="AX13">
    <cfRule type="cellIs" dxfId="386" priority="62" operator="between">
      <formula>0.501</formula>
      <formula>0.75</formula>
    </cfRule>
  </conditionalFormatting>
  <conditionalFormatting sqref="AY13">
    <cfRule type="cellIs" dxfId="385" priority="61" operator="between">
      <formula>0.76</formula>
      <formula>0.95</formula>
    </cfRule>
  </conditionalFormatting>
  <conditionalFormatting sqref="AZ13">
    <cfRule type="cellIs" dxfId="384" priority="60" operator="between">
      <formula>0.95</formula>
      <formula>1</formula>
    </cfRule>
  </conditionalFormatting>
  <conditionalFormatting sqref="BA13">
    <cfRule type="cellIs" dxfId="383" priority="59" operator="greaterThan">
      <formula>1</formula>
    </cfRule>
  </conditionalFormatting>
  <conditionalFormatting sqref="AW13">
    <cfRule type="cellIs" dxfId="382" priority="58" stopIfTrue="1" operator="between">
      <formula>0</formula>
      <formula>0.5</formula>
    </cfRule>
  </conditionalFormatting>
  <conditionalFormatting sqref="AX14">
    <cfRule type="cellIs" dxfId="381" priority="57" operator="between">
      <formula>0.501</formula>
      <formula>0.75</formula>
    </cfRule>
  </conditionalFormatting>
  <conditionalFormatting sqref="AY14">
    <cfRule type="cellIs" dxfId="380" priority="56" operator="between">
      <formula>0.76</formula>
      <formula>0.95</formula>
    </cfRule>
  </conditionalFormatting>
  <conditionalFormatting sqref="AZ14">
    <cfRule type="cellIs" dxfId="379" priority="55" operator="between">
      <formula>0.95</formula>
      <formula>1</formula>
    </cfRule>
  </conditionalFormatting>
  <conditionalFormatting sqref="BA14">
    <cfRule type="cellIs" dxfId="378" priority="54" operator="greaterThan">
      <formula>1</formula>
    </cfRule>
  </conditionalFormatting>
  <conditionalFormatting sqref="AW14">
    <cfRule type="cellIs" dxfId="377" priority="53" stopIfTrue="1" operator="between">
      <formula>0</formula>
      <formula>0.5</formula>
    </cfRule>
  </conditionalFormatting>
  <conditionalFormatting sqref="W6">
    <cfRule type="cellIs" dxfId="376" priority="52" stopIfTrue="1" operator="between">
      <formula>0</formula>
      <formula>0.255</formula>
    </cfRule>
  </conditionalFormatting>
  <conditionalFormatting sqref="X6">
    <cfRule type="cellIs" dxfId="375" priority="51" operator="between">
      <formula>0.2551</formula>
      <formula>0.375</formula>
    </cfRule>
  </conditionalFormatting>
  <conditionalFormatting sqref="Y6">
    <cfRule type="cellIs" dxfId="374" priority="50" operator="between">
      <formula>0.3751</formula>
      <formula>0.475</formula>
    </cfRule>
  </conditionalFormatting>
  <conditionalFormatting sqref="Z6">
    <cfRule type="cellIs" dxfId="373" priority="49" operator="between">
      <formula>0.4751</formula>
      <formula>0.51</formula>
    </cfRule>
  </conditionalFormatting>
  <conditionalFormatting sqref="AA6">
    <cfRule type="cellIs" dxfId="372" priority="48" operator="greaterThan">
      <formula>0.505</formula>
    </cfRule>
  </conditionalFormatting>
  <conditionalFormatting sqref="AB8">
    <cfRule type="cellIs" dxfId="371" priority="47" operator="greaterThan">
      <formula>0.505</formula>
    </cfRule>
  </conditionalFormatting>
  <conditionalFormatting sqref="W8">
    <cfRule type="cellIs" dxfId="370" priority="46" stopIfTrue="1" operator="between">
      <formula>0</formula>
      <formula>0.255</formula>
    </cfRule>
  </conditionalFormatting>
  <conditionalFormatting sqref="X8">
    <cfRule type="cellIs" dxfId="369" priority="45" operator="between">
      <formula>0.2551</formula>
      <formula>0.375</formula>
    </cfRule>
  </conditionalFormatting>
  <conditionalFormatting sqref="Y8">
    <cfRule type="cellIs" dxfId="368" priority="44" operator="between">
      <formula>0.3751</formula>
      <formula>0.475</formula>
    </cfRule>
  </conditionalFormatting>
  <conditionalFormatting sqref="Z8">
    <cfRule type="cellIs" dxfId="367" priority="43" operator="between">
      <formula>0.48</formula>
      <formula>0.51</formula>
    </cfRule>
  </conditionalFormatting>
  <conditionalFormatting sqref="D6">
    <cfRule type="cellIs" dxfId="366" priority="41" stopIfTrue="1" operator="between">
      <formula>0</formula>
      <formula>0.5</formula>
    </cfRule>
  </conditionalFormatting>
  <conditionalFormatting sqref="E6">
    <cfRule type="cellIs" dxfId="365" priority="40" operator="between">
      <formula>0.51</formula>
      <formula>0.75</formula>
    </cfRule>
  </conditionalFormatting>
  <conditionalFormatting sqref="F6">
    <cfRule type="cellIs" dxfId="364" priority="39" operator="between">
      <formula>0.76</formula>
      <formula>0.95</formula>
    </cfRule>
  </conditionalFormatting>
  <conditionalFormatting sqref="G6">
    <cfRule type="cellIs" dxfId="363" priority="38" operator="between">
      <formula>0.96</formula>
      <formula>1</formula>
    </cfRule>
  </conditionalFormatting>
  <conditionalFormatting sqref="H6">
    <cfRule type="cellIs" dxfId="362" priority="37" operator="greaterThan">
      <formula>1</formula>
    </cfRule>
  </conditionalFormatting>
  <conditionalFormatting sqref="D7">
    <cfRule type="cellIs" dxfId="361" priority="36" stopIfTrue="1" operator="between">
      <formula>0</formula>
      <formula>0.5</formula>
    </cfRule>
  </conditionalFormatting>
  <conditionalFormatting sqref="E7">
    <cfRule type="cellIs" dxfId="360" priority="35" operator="between">
      <formula>0.51</formula>
      <formula>0.75</formula>
    </cfRule>
  </conditionalFormatting>
  <conditionalFormatting sqref="F7">
    <cfRule type="cellIs" dxfId="359" priority="34" operator="between">
      <formula>0.76</formula>
      <formula>0.95</formula>
    </cfRule>
  </conditionalFormatting>
  <conditionalFormatting sqref="G7">
    <cfRule type="cellIs" dxfId="358" priority="33" operator="between">
      <formula>0.96</formula>
      <formula>1</formula>
    </cfRule>
  </conditionalFormatting>
  <conditionalFormatting sqref="H7">
    <cfRule type="cellIs" dxfId="357" priority="32" operator="greaterThan">
      <formula>1</formula>
    </cfRule>
  </conditionalFormatting>
  <conditionalFormatting sqref="D8:D14">
    <cfRule type="cellIs" dxfId="356" priority="31" stopIfTrue="1" operator="between">
      <formula>0</formula>
      <formula>0.5</formula>
    </cfRule>
  </conditionalFormatting>
  <conditionalFormatting sqref="E8:E14">
    <cfRule type="cellIs" dxfId="355" priority="30" operator="between">
      <formula>0.51</formula>
      <formula>0.75</formula>
    </cfRule>
  </conditionalFormatting>
  <conditionalFormatting sqref="F8:F14">
    <cfRule type="cellIs" dxfId="354" priority="29" operator="between">
      <formula>0.76</formula>
      <formula>0.95</formula>
    </cfRule>
  </conditionalFormatting>
  <conditionalFormatting sqref="G8:G14">
    <cfRule type="cellIs" dxfId="353" priority="28" operator="between">
      <formula>0.96</formula>
      <formula>1</formula>
    </cfRule>
  </conditionalFormatting>
  <conditionalFormatting sqref="H8:H14">
    <cfRule type="cellIs" dxfId="352" priority="27" operator="greaterThan">
      <formula>1</formula>
    </cfRule>
  </conditionalFormatting>
  <conditionalFormatting sqref="J6">
    <cfRule type="cellIs" dxfId="351" priority="26" stopIfTrue="1" operator="between">
      <formula>0</formula>
      <formula>0.125</formula>
    </cfRule>
  </conditionalFormatting>
  <conditionalFormatting sqref="K6">
    <cfRule type="cellIs" dxfId="350" priority="25" operator="between">
      <formula>0.1251</formula>
      <formula>0.1875</formula>
    </cfRule>
  </conditionalFormatting>
  <conditionalFormatting sqref="L6">
    <cfRule type="cellIs" dxfId="349" priority="24" operator="between">
      <formula>0.1876</formula>
      <formula>0.2375</formula>
    </cfRule>
  </conditionalFormatting>
  <conditionalFormatting sqref="M6">
    <cfRule type="cellIs" dxfId="348" priority="23" operator="between">
      <formula>0.2376</formula>
      <formula>0.25</formula>
    </cfRule>
  </conditionalFormatting>
  <conditionalFormatting sqref="N6">
    <cfRule type="cellIs" dxfId="347" priority="22" operator="greaterThan">
      <formula>0.25</formula>
    </cfRule>
  </conditionalFormatting>
  <conditionalFormatting sqref="J7">
    <cfRule type="cellIs" dxfId="346" priority="21" stopIfTrue="1" operator="between">
      <formula>0</formula>
      <formula>0.125</formula>
    </cfRule>
  </conditionalFormatting>
  <conditionalFormatting sqref="K7">
    <cfRule type="cellIs" dxfId="345" priority="20" operator="between">
      <formula>0.1251</formula>
      <formula>0.1875</formula>
    </cfRule>
  </conditionalFormatting>
  <conditionalFormatting sqref="L7">
    <cfRule type="cellIs" dxfId="344" priority="19" operator="between">
      <formula>0.1876</formula>
      <formula>0.2375</formula>
    </cfRule>
  </conditionalFormatting>
  <conditionalFormatting sqref="M7">
    <cfRule type="cellIs" dxfId="343" priority="18" operator="between">
      <formula>0.2376</formula>
      <formula>0.25</formula>
    </cfRule>
  </conditionalFormatting>
  <conditionalFormatting sqref="N7">
    <cfRule type="cellIs" dxfId="342" priority="17" operator="greaterThan">
      <formula>0.25</formula>
    </cfRule>
  </conditionalFormatting>
  <conditionalFormatting sqref="J8:J14">
    <cfRule type="cellIs" dxfId="341" priority="16" stopIfTrue="1" operator="between">
      <formula>0</formula>
      <formula>0.125</formula>
    </cfRule>
  </conditionalFormatting>
  <conditionalFormatting sqref="K8:K14">
    <cfRule type="cellIs" dxfId="340" priority="15" operator="between">
      <formula>0.1251</formula>
      <formula>0.1875</formula>
    </cfRule>
  </conditionalFormatting>
  <conditionalFormatting sqref="L8:L14">
    <cfRule type="cellIs" dxfId="339" priority="14" operator="between">
      <formula>0.1876</formula>
      <formula>0.2375</formula>
    </cfRule>
  </conditionalFormatting>
  <conditionalFormatting sqref="M8:M14">
    <cfRule type="cellIs" dxfId="338" priority="13" operator="between">
      <formula>0.2376</formula>
      <formula>0.25</formula>
    </cfRule>
  </conditionalFormatting>
  <conditionalFormatting sqref="N8:N14">
    <cfRule type="cellIs" dxfId="337" priority="12" operator="greaterThan">
      <formula>0.25</formula>
    </cfRule>
  </conditionalFormatting>
  <conditionalFormatting sqref="AA8">
    <cfRule type="cellIs" dxfId="336" priority="11" operator="greaterThan">
      <formula>0.505</formula>
    </cfRule>
  </conditionalFormatting>
  <conditionalFormatting sqref="AJ6">
    <cfRule type="cellIs" dxfId="335" priority="5" stopIfTrue="1" operator="between">
      <formula>0</formula>
      <formula>0.375</formula>
    </cfRule>
  </conditionalFormatting>
  <conditionalFormatting sqref="AK6">
    <cfRule type="cellIs" dxfId="334" priority="4" operator="between">
      <formula>0.3751</formula>
      <formula>0.5625</formula>
    </cfRule>
  </conditionalFormatting>
  <conditionalFormatting sqref="AL6">
    <cfRule type="cellIs" dxfId="333" priority="3" operator="between">
      <formula>0.563</formula>
      <formula>0.7125</formula>
    </cfRule>
  </conditionalFormatting>
  <conditionalFormatting sqref="AM6">
    <cfRule type="cellIs" dxfId="332" priority="2" operator="between">
      <formula>0.71251</formula>
      <formula>0.75</formula>
    </cfRule>
  </conditionalFormatting>
  <conditionalFormatting sqref="AN6">
    <cfRule type="cellIs" dxfId="331"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zoomScale="80" zoomScaleNormal="80" workbookViewId="0">
      <selection activeCell="BD6" sqref="BD6"/>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customWidth="1"/>
    <col min="30" max="34" width="3.28515625" customWidth="1"/>
    <col min="35" max="35" width="15.140625" customWidth="1"/>
    <col min="36" max="40" width="3.28515625" customWidth="1"/>
    <col min="41" max="41" width="2.85546875" customWidth="1"/>
    <col min="42" max="42" width="16.7109375" customWidth="1"/>
    <col min="43" max="47" width="3.28515625" customWidth="1"/>
    <col min="48" max="48" width="15.85546875" customWidth="1"/>
    <col min="49" max="53" width="3.28515625" customWidth="1"/>
  </cols>
  <sheetData>
    <row r="1" spans="1:53" ht="33"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38"/>
      <c r="AP1" s="1609"/>
      <c r="AQ1" s="1610"/>
      <c r="AR1" s="1610"/>
      <c r="AS1" s="1610"/>
      <c r="AT1" s="1610"/>
      <c r="AU1" s="1610"/>
      <c r="AV1" s="1610"/>
      <c r="AW1" s="1610"/>
      <c r="AX1" s="1610"/>
      <c r="AY1" s="1610"/>
      <c r="AZ1" s="1610"/>
      <c r="BA1" s="1611"/>
    </row>
    <row r="2" spans="1:53" ht="28.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3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223</v>
      </c>
      <c r="P3" s="1622"/>
      <c r="Q3" s="1622"/>
      <c r="R3" s="1622"/>
      <c r="S3" s="1622"/>
      <c r="T3" s="1622"/>
      <c r="U3" s="1622"/>
      <c r="V3" s="1622"/>
      <c r="W3" s="1622"/>
      <c r="X3" s="1622"/>
      <c r="Y3" s="1622"/>
      <c r="Z3" s="1622"/>
      <c r="AA3" s="1622"/>
      <c r="AB3" s="1622"/>
      <c r="AC3" s="1622"/>
      <c r="AD3" s="1622"/>
      <c r="AE3" s="1622"/>
      <c r="AF3" s="1622"/>
      <c r="AG3" s="1622"/>
      <c r="AH3" s="1623"/>
      <c r="AI3" s="349" t="s">
        <v>249</v>
      </c>
      <c r="AJ3" s="1570">
        <v>1</v>
      </c>
      <c r="AK3" s="1573"/>
      <c r="AL3" s="1573"/>
      <c r="AM3" s="1573"/>
      <c r="AN3" s="1573"/>
      <c r="AO3" s="1640"/>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232</v>
      </c>
      <c r="B5" s="419"/>
      <c r="C5" s="1629" t="s">
        <v>1188</v>
      </c>
      <c r="D5" s="1636"/>
      <c r="E5" s="1636"/>
      <c r="F5" s="1636"/>
      <c r="G5" s="1636"/>
      <c r="H5" s="1637"/>
      <c r="I5" s="1629" t="s">
        <v>1189</v>
      </c>
      <c r="J5" s="1630"/>
      <c r="K5" s="1630"/>
      <c r="L5" s="1630"/>
      <c r="M5" s="1630"/>
      <c r="N5" s="1631"/>
      <c r="O5" s="17"/>
      <c r="P5" s="1629" t="s">
        <v>1191</v>
      </c>
      <c r="Q5" s="1630"/>
      <c r="R5" s="1630"/>
      <c r="S5" s="1630"/>
      <c r="T5" s="1630"/>
      <c r="U5" s="1631"/>
      <c r="V5" s="1628" t="s">
        <v>1192</v>
      </c>
      <c r="W5" s="1628"/>
      <c r="X5" s="1628"/>
      <c r="Y5" s="1628"/>
      <c r="Z5" s="1628"/>
      <c r="AA5" s="1628"/>
      <c r="AB5" s="420"/>
      <c r="AC5" s="1632" t="s">
        <v>1193</v>
      </c>
      <c r="AD5" s="1628"/>
      <c r="AE5" s="1628"/>
      <c r="AF5" s="1628"/>
      <c r="AG5" s="1628"/>
      <c r="AH5" s="1641"/>
      <c r="AI5" s="1627" t="s">
        <v>1194</v>
      </c>
      <c r="AJ5" s="1628"/>
      <c r="AK5" s="1628"/>
      <c r="AL5" s="1628"/>
      <c r="AM5" s="1628"/>
      <c r="AN5" s="1628"/>
      <c r="AO5" s="420"/>
      <c r="AP5" s="1632" t="s">
        <v>1195</v>
      </c>
      <c r="AQ5" s="1628"/>
      <c r="AR5" s="1628"/>
      <c r="AS5" s="1628"/>
      <c r="AT5" s="1628"/>
      <c r="AU5" s="1641"/>
      <c r="AV5" s="1627" t="s">
        <v>1196</v>
      </c>
      <c r="AW5" s="1628"/>
      <c r="AX5" s="1628"/>
      <c r="AY5" s="1628"/>
      <c r="AZ5" s="1628"/>
      <c r="BA5" s="1628"/>
    </row>
    <row r="6" spans="1:53" ht="18" x14ac:dyDescent="0.25">
      <c r="A6" s="415" t="s">
        <v>330</v>
      </c>
      <c r="B6" s="421"/>
      <c r="C6" s="422">
        <f>AVERAGE('Cuadro Mando Integral Detallado'!L134,'Cuadro Mando Integral Detallado'!L139:L171,'Cuadro Mando Integral Detallado'!L182,'Cuadro Mando Integral Detallado'!L184:L185,'Cuadro Mando Integral Detallado'!L196:L197,'Cuadro Mando Integral Detallado'!L209:L241,'Cuadro Mando Integral Detallado'!L245:L248,'Cuadro Mando Integral Detallado'!L250:L253,'Cuadro Mando Integral Detallado'!L260:L261,'Cuadro Mando Integral Detallado'!L288:L291,'Cuadro Mando Integral Detallado'!L296:L296,'Cuadro Mando Integral Detallado'!L305,'Cuadro Mando Integral Detallado'!L361)</f>
        <v>0.7888443798842244</v>
      </c>
      <c r="D6" s="507">
        <f>+C6</f>
        <v>0.7888443798842244</v>
      </c>
      <c r="E6" s="499">
        <f>+C6</f>
        <v>0.7888443798842244</v>
      </c>
      <c r="F6" s="499">
        <f>+C6</f>
        <v>0.7888443798842244</v>
      </c>
      <c r="G6" s="499">
        <f>+C6</f>
        <v>0.7888443798842244</v>
      </c>
      <c r="H6" s="508">
        <f>+C6</f>
        <v>0.7888443798842244</v>
      </c>
      <c r="I6" s="422">
        <f>AVERAGE('Cuadro Mando Integral Detallado'!O134,'Cuadro Mando Integral Detallado'!O139:O171,'Cuadro Mando Integral Detallado'!O182,'Cuadro Mando Integral Detallado'!O184:O185,'Cuadro Mando Integral Detallado'!O196:O197,'Cuadro Mando Integral Detallado'!O209:O241,'Cuadro Mando Integral Detallado'!O245:O248,'Cuadro Mando Integral Detallado'!O250:O253,'Cuadro Mando Integral Detallado'!O260:O261,'Cuadro Mando Integral Detallado'!O288:O291,'Cuadro Mando Integral Detallado'!O296:O296,'Cuadro Mando Integral Detallado'!O305,'Cuadro Mando Integral Detallado'!O361)</f>
        <v>0.27069723745784308</v>
      </c>
      <c r="J6" s="496">
        <f>+I6</f>
        <v>0.27069723745784308</v>
      </c>
      <c r="K6" s="497">
        <f>+I6</f>
        <v>0.27069723745784308</v>
      </c>
      <c r="L6" s="497">
        <f>+I6</f>
        <v>0.27069723745784308</v>
      </c>
      <c r="M6" s="497">
        <f>+I6</f>
        <v>0.27069723745784308</v>
      </c>
      <c r="N6" s="498">
        <f>+I6</f>
        <v>0.27069723745784308</v>
      </c>
      <c r="O6" s="17"/>
      <c r="P6" s="422">
        <f>AVERAGE('Cuadro Mando Integral Detallado'!S134:S173,'Cuadro Mando Integral Detallado'!S182,'Cuadro Mando Integral Detallado'!S184:S186,'Cuadro Mando Integral Detallado'!S195:S197,'Cuadro Mando Integral Detallado'!S209:S223,S220:S238,'Cuadro Mando Integral Detallado'!S245,'Cuadro Mando Integral Detallado'!S247:S248,'Cuadro Mando Integral Detallado'!S250:S253,'Cuadro Mando Integral Detallado'!S260:S261,'Cuadro Mando Integral Detallado'!S285,'Cuadro Mando Integral Detallado'!S288:S291,'Cuadro Mando Integral Detallado'!S296:S296,'Cuadro Mando Integral Detallado'!S305,'Cuadro Mando Integral Detallado'!S361)</f>
        <v>0.96741833895594076</v>
      </c>
      <c r="Q6" s="502">
        <f t="shared" ref="Q6:Q18" si="0">+P6</f>
        <v>0.96741833895594076</v>
      </c>
      <c r="R6" s="500">
        <f t="shared" ref="R6:R18" si="1">+P6</f>
        <v>0.96741833895594076</v>
      </c>
      <c r="S6" s="500">
        <f t="shared" ref="S6:S18" si="2">+P6</f>
        <v>0.96741833895594076</v>
      </c>
      <c r="T6" s="500">
        <f t="shared" ref="T6:T18" si="3">+P6</f>
        <v>0.96741833895594076</v>
      </c>
      <c r="U6" s="501">
        <f t="shared" ref="U6:U18" si="4">+P6</f>
        <v>0.96741833895594076</v>
      </c>
      <c r="V6" s="422">
        <f>AVERAGE('Cuadro Mando Integral Detallado'!V134:V173,'Cuadro Mando Integral Detallado'!V182,'Cuadro Mando Integral Detallado'!V184:V186,'Cuadro Mando Integral Detallado'!V195:V197,'Cuadro Mando Integral Detallado'!V209:V243,'Cuadro Mando Integral Detallado'!V245,'Cuadro Mando Integral Detallado'!V247:V248,'Cuadro Mando Integral Detallado'!V250:V253,'Cuadro Mando Integral Detallado'!V260:V261,'Cuadro Mando Integral Detallado'!V285,'Cuadro Mando Integral Detallado'!V288:V291,'Cuadro Mando Integral Detallado'!V296:V296,'Cuadro Mando Integral Detallado'!V305,'Cuadro Mando Integral Detallado'!V361)</f>
        <v>0.46451223838925276</v>
      </c>
      <c r="W6" s="361">
        <f t="shared" ref="W6:W18" si="5">+V6</f>
        <v>0.46451223838925276</v>
      </c>
      <c r="X6" s="362">
        <f t="shared" ref="X6:X18" si="6">+V6</f>
        <v>0.46451223838925276</v>
      </c>
      <c r="Y6" s="362">
        <f t="shared" ref="Y6:Y18" si="7">+V6</f>
        <v>0.46451223838925276</v>
      </c>
      <c r="Z6" s="362">
        <f t="shared" ref="Z6:Z18" si="8">+V6</f>
        <v>0.46451223838925276</v>
      </c>
      <c r="AA6" s="363">
        <f t="shared" ref="AA6:AA9" si="9">+V6</f>
        <v>0.46451223838925276</v>
      </c>
      <c r="AB6" s="409"/>
      <c r="AC6" s="422">
        <f>AVERAGE('Cuadro Mando Integral Detallado'!Z134:Z171,'Cuadro Mando Integral Detallado'!Z182,'Cuadro Mando Integral Detallado'!Z184:Z185,'Cuadro Mando Integral Detallado'!Z196,'Cuadro Mando Integral Detallado'!Z209:Z241,'Cuadro Mando Integral Detallado'!Z245:Z248,'Cuadro Mando Integral Detallado'!Z250:Z253,'Cuadro Mando Integral Detallado'!Z260:Z261,'Cuadro Mando Integral Detallado'!Z288:Z291,'Cuadro Mando Integral Detallado'!Z296:Z296,'Cuadro Mando Integral Detallado'!Z305,'Cuadro Mando Integral Detallado'!Z361)</f>
        <v>0.97596985389904534</v>
      </c>
      <c r="AD6" s="382">
        <f t="shared" ref="AD6" si="10">+AC6</f>
        <v>0.97596985389904534</v>
      </c>
      <c r="AE6" s="373">
        <f t="shared" ref="AE6" si="11">+AC6</f>
        <v>0.97596985389904534</v>
      </c>
      <c r="AF6" s="373">
        <f t="shared" ref="AF6" si="12">+AC6</f>
        <v>0.97596985389904534</v>
      </c>
      <c r="AG6" s="373">
        <f t="shared" ref="AG6" si="13">+AC6</f>
        <v>0.97596985389904534</v>
      </c>
      <c r="AH6" s="374">
        <f t="shared" ref="AH6" si="14">+AC6</f>
        <v>0.97596985389904534</v>
      </c>
      <c r="AI6" s="422">
        <f>AVERAGE('Cuadro Mando Integral Detallado'!AC134:AC171,'Cuadro Mando Integral Detallado'!AC182,'Cuadro Mando Integral Detallado'!AC184:AC185,'Cuadro Mando Integral Detallado'!AC196,'Cuadro Mando Integral Detallado'!AC209:AC241,'Cuadro Mando Integral Detallado'!AC245:AC248,'Cuadro Mando Integral Detallado'!AC250:AC253,'Cuadro Mando Integral Detallado'!AC260:AC261,'Cuadro Mando Integral Detallado'!AC288:AC291,'Cuadro Mando Integral Detallado'!AC296:AC296,'Cuadro Mando Integral Detallado'!AC305,'Cuadro Mando Integral Detallado'!AC361)</f>
        <v>0.65876691417852529</v>
      </c>
      <c r="AJ6" s="382">
        <f t="shared" ref="AJ6" si="15">+AI6</f>
        <v>0.65876691417852529</v>
      </c>
      <c r="AK6" s="377">
        <f t="shared" ref="AK6" si="16">+AI6</f>
        <v>0.65876691417852529</v>
      </c>
      <c r="AL6" s="377">
        <f t="shared" ref="AL6" si="17">+AI6</f>
        <v>0.65876691417852529</v>
      </c>
      <c r="AM6" s="377">
        <f t="shared" ref="AM6" si="18">+AI6</f>
        <v>0.65876691417852529</v>
      </c>
      <c r="AN6" s="378">
        <f t="shared" ref="AN6" si="19">+AI6</f>
        <v>0.65876691417852529</v>
      </c>
      <c r="AO6" s="409"/>
      <c r="AP6" s="422">
        <f>AVERAGE('Cuadro Mando Integral Detallado'!AG134:AG171,'Cuadro Mando Integral Detallado'!AG182,'Cuadro Mando Integral Detallado'!AG184:AG185,'Cuadro Mando Integral Detallado'!AG196,'Cuadro Mando Integral Detallado'!AG209:AG241,'Cuadro Mando Integral Detallado'!AG245:AG248,'Cuadro Mando Integral Detallado'!AG250:AG253,'Cuadro Mando Integral Detallado'!AG260:AG261,'Cuadro Mando Integral Detallado'!AG288:AG291,'Cuadro Mando Integral Detallado'!AG296:AG296,'Cuadro Mando Integral Detallado'!AG305,'Cuadro Mando Integral Detallado'!AG361)</f>
        <v>0.97659882950991117</v>
      </c>
      <c r="AQ6" s="368">
        <f t="shared" ref="AQ6:AQ18" si="20">+AP6</f>
        <v>0.97659882950991117</v>
      </c>
      <c r="AR6" s="358">
        <f t="shared" ref="AR6:AR18" si="21">+AP6</f>
        <v>0.97659882950991117</v>
      </c>
      <c r="AS6" s="358">
        <f t="shared" ref="AS6:AS18" si="22">+AP6</f>
        <v>0.97659882950991117</v>
      </c>
      <c r="AT6" s="358">
        <f t="shared" ref="AT6:AT18" si="23">+AP6</f>
        <v>0.97659882950991117</v>
      </c>
      <c r="AU6" s="359">
        <f t="shared" ref="AU6:AU18" si="24">+AP6</f>
        <v>0.97659882950991117</v>
      </c>
      <c r="AV6" s="422">
        <f>AVERAGE('Cuadro Mando Integral Detallado'!AI134:AI171,'Cuadro Mando Integral Detallado'!AI182,'Cuadro Mando Integral Detallado'!AI184:AI185,'Cuadro Mando Integral Detallado'!AI196,'Cuadro Mando Integral Detallado'!AI209:AI241,'Cuadro Mando Integral Detallado'!AI245:AI248,'Cuadro Mando Integral Detallado'!AI250:AI253,'Cuadro Mando Integral Detallado'!AI260:AI261,'Cuadro Mando Integral Detallado'!AI288:AI291,'Cuadro Mando Integral Detallado'!AI296:AI296,'Cuadro Mando Integral Detallado'!AI305,'Cuadro Mando Integral Detallado'!AI361)</f>
        <v>0.86680337415627073</v>
      </c>
      <c r="AW6" s="368">
        <f>+AV6</f>
        <v>0.86680337415627073</v>
      </c>
      <c r="AX6" s="362">
        <f t="shared" ref="AX6:AX17" si="25">+AV6</f>
        <v>0.86680337415627073</v>
      </c>
      <c r="AY6" s="362">
        <f t="shared" ref="AY6:AY18" si="26">+AV6</f>
        <v>0.86680337415627073</v>
      </c>
      <c r="AZ6" s="362">
        <f t="shared" ref="AZ6:AZ18" si="27">+AV6</f>
        <v>0.86680337415627073</v>
      </c>
      <c r="BA6" s="363">
        <f t="shared" ref="BA6:BA18" si="28">+AV6</f>
        <v>0.86680337415627073</v>
      </c>
    </row>
    <row r="7" spans="1:53" ht="36" x14ac:dyDescent="0.25">
      <c r="A7" s="370" t="s">
        <v>336</v>
      </c>
      <c r="B7" s="421"/>
      <c r="C7" s="423">
        <f>AVERAGE('Cuadro Mando Integral Detallado'!L174:L181,'Cuadro Mando Integral Detallado'!L187:L194,'Cuadro Mando Integral Detallado'!L198:L206,'Cuadro Mando Integral Detallado'!L244,'Cuadro Mando Integral Detallado'!L249,'Cuadro Mando Integral Detallado'!L254:L255,'Cuadro Mando Integral Detallado'!L280:L281,'Cuadro Mando Integral Detallado'!L298:L302,'Cuadro Mando Integral Detallado'!L306:L307,'Cuadro Mando Integral Detallado'!L356:L357,'Cuadro Mando Integral Detallado'!L360,'Cuadro Mando Integral Detallado'!L362:L363)</f>
        <v>0.89945652173913049</v>
      </c>
      <c r="D7" s="382">
        <f>+C7</f>
        <v>0.89945652173913049</v>
      </c>
      <c r="E7" s="373">
        <f>+C7</f>
        <v>0.89945652173913049</v>
      </c>
      <c r="F7" s="373">
        <f>+C7</f>
        <v>0.89945652173913049</v>
      </c>
      <c r="G7" s="373">
        <f>+C7</f>
        <v>0.89945652173913049</v>
      </c>
      <c r="H7" s="374">
        <f>+C7</f>
        <v>0.89945652173913049</v>
      </c>
      <c r="I7" s="423">
        <f>AVERAGE('Cuadro Mando Integral Detallado'!O174:O181,'Cuadro Mando Integral Detallado'!O187:O194,'Cuadro Mando Integral Detallado'!O198:O206,'Cuadro Mando Integral Detallado'!O244,'Cuadro Mando Integral Detallado'!O249,'Cuadro Mando Integral Detallado'!O254:O255,'Cuadro Mando Integral Detallado'!O280:O281,'Cuadro Mando Integral Detallado'!O298:O302,'Cuadro Mando Integral Detallado'!O306:O307,'Cuadro Mando Integral Detallado'!O356:O357,'Cuadro Mando Integral Detallado'!O360,'Cuadro Mando Integral Detallado'!O362:O363)</f>
        <v>0.5007846730704415</v>
      </c>
      <c r="J7" s="376">
        <f>+I7</f>
        <v>0.5007846730704415</v>
      </c>
      <c r="K7" s="377">
        <f>+I7</f>
        <v>0.5007846730704415</v>
      </c>
      <c r="L7" s="377">
        <f>+I7</f>
        <v>0.5007846730704415</v>
      </c>
      <c r="M7" s="377">
        <f>+I7</f>
        <v>0.5007846730704415</v>
      </c>
      <c r="N7" s="378">
        <f>+I7</f>
        <v>0.5007846730704415</v>
      </c>
      <c r="O7" s="11"/>
      <c r="P7" s="423">
        <f>AVERAGE('Cuadro Mando Integral Detallado'!S174:S181,'Cuadro Mando Integral Detallado'!S187:S194,'Cuadro Mando Integral Detallado'!S198:S207,'Cuadro Mando Integral Detallado'!S244,'Cuadro Mando Integral Detallado'!S246,'Cuadro Mando Integral Detallado'!S249,'Cuadro Mando Integral Detallado'!S254:S255,'Cuadro Mando Integral Detallado'!S280:S281,'Cuadro Mando Integral Detallado'!S298:S304,'Cuadro Mando Integral Detallado'!S306:S307,'Cuadro Mando Integral Detallado'!S356:S357,'Cuadro Mando Integral Detallado'!S360,'Cuadro Mando Integral Detallado'!S362:S363)</f>
        <v>0.90307486631016043</v>
      </c>
      <c r="Q7" s="382">
        <f t="shared" si="0"/>
        <v>0.90307486631016043</v>
      </c>
      <c r="R7" s="373">
        <f t="shared" si="1"/>
        <v>0.90307486631016043</v>
      </c>
      <c r="S7" s="373">
        <f t="shared" si="2"/>
        <v>0.90307486631016043</v>
      </c>
      <c r="T7" s="373">
        <f t="shared" si="3"/>
        <v>0.90307486631016043</v>
      </c>
      <c r="U7" s="374">
        <f t="shared" si="4"/>
        <v>0.90307486631016043</v>
      </c>
      <c r="V7" s="423">
        <f>AVERAGE('Cuadro Mando Integral Detallado'!V174:V181,'Cuadro Mando Integral Detallado'!V187:V194,'Cuadro Mando Integral Detallado'!V198:V207,'Cuadro Mando Integral Detallado'!V244,'Cuadro Mando Integral Detallado'!V246,'Cuadro Mando Integral Detallado'!V249,'Cuadro Mando Integral Detallado'!V254:V255,'Cuadro Mando Integral Detallado'!V280:V281,'Cuadro Mando Integral Detallado'!V298:V304,'Cuadro Mando Integral Detallado'!V306:V307,'Cuadro Mando Integral Detallado'!V356:V357,'Cuadro Mando Integral Detallado'!V360,'Cuadro Mando Integral Detallado'!V362:V363)</f>
        <v>0.54674449169624029</v>
      </c>
      <c r="W7" s="376">
        <f t="shared" si="5"/>
        <v>0.54674449169624029</v>
      </c>
      <c r="X7" s="377">
        <f t="shared" si="6"/>
        <v>0.54674449169624029</v>
      </c>
      <c r="Y7" s="377">
        <f t="shared" si="7"/>
        <v>0.54674449169624029</v>
      </c>
      <c r="Z7" s="377">
        <f t="shared" si="8"/>
        <v>0.54674449169624029</v>
      </c>
      <c r="AA7" s="378">
        <f t="shared" si="9"/>
        <v>0.54674449169624029</v>
      </c>
      <c r="AB7" s="409"/>
      <c r="AC7" s="423">
        <f>AVERAGE('Cuadro Mando Integral Detallado'!Z174:Z181,'Cuadro Mando Integral Detallado'!Z187:Z194,'Cuadro Mando Integral Detallado'!Z198:Z206,'Cuadro Mando Integral Detallado'!Z244,'Cuadro Mando Integral Detallado'!Z249,'Cuadro Mando Integral Detallado'!Z254:Z255,'Cuadro Mando Integral Detallado'!Z280:Z281,'Cuadro Mando Integral Detallado'!Z298,'Cuadro Mando Integral Detallado'!Z299:Z304,'Cuadro Mando Integral Detallado'!Z306:Z307,'Cuadro Mando Integral Detallado'!Z356:Z357,'Cuadro Mando Integral Detallado'!Z362:Z363)</f>
        <v>0.87968182756039381</v>
      </c>
      <c r="AD7" s="382">
        <f t="shared" ref="AD7" si="29">+AC7</f>
        <v>0.87968182756039381</v>
      </c>
      <c r="AE7" s="373">
        <f t="shared" ref="AE7" si="30">+AC7</f>
        <v>0.87968182756039381</v>
      </c>
      <c r="AF7" s="373">
        <f t="shared" ref="AF7" si="31">+AC7</f>
        <v>0.87968182756039381</v>
      </c>
      <c r="AG7" s="373">
        <f t="shared" ref="AG7" si="32">+AC7</f>
        <v>0.87968182756039381</v>
      </c>
      <c r="AH7" s="374">
        <f t="shared" ref="AH7" si="33">+AC7</f>
        <v>0.87968182756039381</v>
      </c>
      <c r="AI7" s="423">
        <f>AVERAGE('Cuadro Mando Integral Detallado'!AC174:AC181,'Cuadro Mando Integral Detallado'!AC187:AC194,'Cuadro Mando Integral Detallado'!AC198:AC206,'Cuadro Mando Integral Detallado'!AC244,'Cuadro Mando Integral Detallado'!AC249,'Cuadro Mando Integral Detallado'!AC254:AR255,'Cuadro Mando Integral Detallado'!AC280:AC281,'Cuadro Mando Integral Detallado'!AC298,'Cuadro Mando Integral Detallado'!AC299:AC304,'Cuadro Mando Integral Detallado'!AC306:AC307,'Cuadro Mando Integral Detallado'!AC356:AC357,'Cuadro Mando Integral Detallado'!AC362:AC363)</f>
        <v>0.78154777774664863</v>
      </c>
      <c r="AJ7" s="382">
        <f t="shared" ref="AJ7" si="34">+AI7</f>
        <v>0.78154777774664863</v>
      </c>
      <c r="AK7" s="377">
        <f t="shared" ref="AK7" si="35">+AI7</f>
        <v>0.78154777774664863</v>
      </c>
      <c r="AL7" s="377">
        <f t="shared" ref="AL7" si="36">+AI7</f>
        <v>0.78154777774664863</v>
      </c>
      <c r="AM7" s="377">
        <f t="shared" ref="AM7" si="37">+AI7</f>
        <v>0.78154777774664863</v>
      </c>
      <c r="AN7" s="378">
        <f t="shared" ref="AN7" si="38">+AI7</f>
        <v>0.78154777774664863</v>
      </c>
      <c r="AO7" s="409"/>
      <c r="AP7" s="423">
        <f>AVERAGE('Cuadro Mando Integral Detallado'!AG174:AG181,'Cuadro Mando Integral Detallado'!AG187:AG194,'Cuadro Mando Integral Detallado'!AG198:AG206,'Cuadro Mando Integral Detallado'!AG244,'Cuadro Mando Integral Detallado'!AG249,'Cuadro Mando Integral Detallado'!AG254:AG255,'Cuadro Mando Integral Detallado'!AG280:AG281,'Cuadro Mando Integral Detallado'!AG298,'Cuadro Mando Integral Detallado'!AG299:AG304,'Cuadro Mando Integral Detallado'!AG306:AG307,'Cuadro Mando Integral Detallado'!AG356:AG357,'Cuadro Mando Integral Detallado'!AG362:AG363)</f>
        <v>1</v>
      </c>
      <c r="AQ7" s="382">
        <f t="shared" si="20"/>
        <v>1</v>
      </c>
      <c r="AR7" s="373">
        <f t="shared" si="21"/>
        <v>1</v>
      </c>
      <c r="AS7" s="373">
        <f t="shared" si="22"/>
        <v>1</v>
      </c>
      <c r="AT7" s="373">
        <f t="shared" si="23"/>
        <v>1</v>
      </c>
      <c r="AU7" s="374">
        <f t="shared" si="24"/>
        <v>1</v>
      </c>
      <c r="AV7" s="423">
        <f>AVERAGE('Cuadro Mando Integral Detallado'!AI174:AI181,'Cuadro Mando Integral Detallado'!AI187:AI194,'Cuadro Mando Integral Detallado'!AI198:AI206,'Cuadro Mando Integral Detallado'!AI244,'Cuadro Mando Integral Detallado'!AI249,'Cuadro Mando Integral Detallado'!AI254:AI255,'Cuadro Mando Integral Detallado'!AI280:AI281,'Cuadro Mando Integral Detallado'!AI298,'Cuadro Mando Integral Detallado'!AI299:AI304,'Cuadro Mando Integral Detallado'!AI306:AI307,'Cuadro Mando Integral Detallado'!AI356:AI357,'Cuadro Mando Integral Detallado'!AI362:AI363)</f>
        <v>0.94577424322984405</v>
      </c>
      <c r="AW7" s="382">
        <f t="shared" ref="AW7:AW18" si="39">+AV7</f>
        <v>0.94577424322984405</v>
      </c>
      <c r="AX7" s="377">
        <f t="shared" si="25"/>
        <v>0.94577424322984405</v>
      </c>
      <c r="AY7" s="377">
        <f t="shared" si="26"/>
        <v>0.94577424322984405</v>
      </c>
      <c r="AZ7" s="377">
        <f t="shared" si="27"/>
        <v>0.94577424322984405</v>
      </c>
      <c r="BA7" s="378">
        <f t="shared" si="28"/>
        <v>0.94577424322984405</v>
      </c>
    </row>
    <row r="8" spans="1:53" ht="18" x14ac:dyDescent="0.25">
      <c r="A8" s="370" t="s">
        <v>337</v>
      </c>
      <c r="B8" s="421"/>
      <c r="C8" s="423">
        <f>AVERAGE('Cuadro Mando Integral Detallado'!L256:L259)</f>
        <v>0.84</v>
      </c>
      <c r="D8" s="382">
        <f>+C8</f>
        <v>0.84</v>
      </c>
      <c r="E8" s="373">
        <f>+C8</f>
        <v>0.84</v>
      </c>
      <c r="F8" s="373">
        <f>+C8</f>
        <v>0.84</v>
      </c>
      <c r="G8" s="373">
        <f>+C8</f>
        <v>0.84</v>
      </c>
      <c r="H8" s="374">
        <f>+C8</f>
        <v>0.84</v>
      </c>
      <c r="I8" s="423">
        <f>AVERAGE('Cuadro Mando Integral Detallado'!O256:O259)</f>
        <v>0.10357583230579531</v>
      </c>
      <c r="J8" s="376">
        <f>+I8</f>
        <v>0.10357583230579531</v>
      </c>
      <c r="K8" s="377">
        <f>+I8</f>
        <v>0.10357583230579531</v>
      </c>
      <c r="L8" s="377">
        <f>+I8</f>
        <v>0.10357583230579531</v>
      </c>
      <c r="M8" s="377">
        <f>+I8</f>
        <v>0.10357583230579531</v>
      </c>
      <c r="N8" s="378">
        <f>+I8</f>
        <v>0.10357583230579531</v>
      </c>
      <c r="O8" s="11"/>
      <c r="P8" s="423">
        <f>AVERAGE('Cuadro Mando Integral Detallado'!S256:S259)</f>
        <v>1</v>
      </c>
      <c r="Q8" s="382">
        <f t="shared" si="0"/>
        <v>1</v>
      </c>
      <c r="R8" s="373">
        <f t="shared" si="1"/>
        <v>1</v>
      </c>
      <c r="S8" s="373">
        <f t="shared" si="2"/>
        <v>1</v>
      </c>
      <c r="T8" s="373">
        <f t="shared" si="3"/>
        <v>1</v>
      </c>
      <c r="U8" s="374">
        <f t="shared" si="4"/>
        <v>1</v>
      </c>
      <c r="V8" s="423">
        <f>AVERAGE('Cuadro Mando Integral Detallado'!V256:V259)</f>
        <v>0.73674475955610363</v>
      </c>
      <c r="W8" s="376">
        <f t="shared" si="5"/>
        <v>0.73674475955610363</v>
      </c>
      <c r="X8" s="377">
        <f t="shared" si="6"/>
        <v>0.73674475955610363</v>
      </c>
      <c r="Y8" s="377">
        <f t="shared" si="7"/>
        <v>0.73674475955610363</v>
      </c>
      <c r="Z8" s="377">
        <f t="shared" si="8"/>
        <v>0.73674475955610363</v>
      </c>
      <c r="AA8" s="378">
        <f t="shared" si="9"/>
        <v>0.73674475955610363</v>
      </c>
      <c r="AB8" s="412"/>
      <c r="AC8" s="790">
        <f>AVERAGE('Cuadro Mando Integral Detallado'!Z256:Z259)</f>
        <v>1</v>
      </c>
      <c r="AD8" s="382">
        <f t="shared" ref="AD8:AD9" si="40">+AC8</f>
        <v>1</v>
      </c>
      <c r="AE8" s="373">
        <f t="shared" ref="AE8:AE9" si="41">+AC8</f>
        <v>1</v>
      </c>
      <c r="AF8" s="373">
        <f t="shared" ref="AF8:AF9" si="42">+AC8</f>
        <v>1</v>
      </c>
      <c r="AG8" s="373">
        <f t="shared" ref="AG8:AG9" si="43">+AC8</f>
        <v>1</v>
      </c>
      <c r="AH8" s="374">
        <f t="shared" ref="AH8:AH9" si="44">+AC8</f>
        <v>1</v>
      </c>
      <c r="AI8" s="423">
        <f>AVERAGE('Cuadro Mando Integral Detallado'!AC256:AC259)</f>
        <v>0.94780106863953961</v>
      </c>
      <c r="AJ8" s="382">
        <f t="shared" ref="AJ8" si="45">+AI8</f>
        <v>0.94780106863953961</v>
      </c>
      <c r="AK8" s="377">
        <f t="shared" ref="AK8" si="46">+AI8</f>
        <v>0.94780106863953961</v>
      </c>
      <c r="AL8" s="377">
        <f t="shared" ref="AL8" si="47">+AI8</f>
        <v>0.94780106863953961</v>
      </c>
      <c r="AM8" s="377">
        <f t="shared" ref="AM8" si="48">+AI8</f>
        <v>0.94780106863953961</v>
      </c>
      <c r="AN8" s="378">
        <f t="shared" ref="AN8" si="49">+AI8</f>
        <v>0.94780106863953961</v>
      </c>
      <c r="AO8" s="409"/>
      <c r="AP8" s="423">
        <f>AVERAGE('Cuadro Mando Integral Detallado'!AG256:AG259)</f>
        <v>1</v>
      </c>
      <c r="AQ8" s="382">
        <f t="shared" si="20"/>
        <v>1</v>
      </c>
      <c r="AR8" s="373">
        <f t="shared" si="21"/>
        <v>1</v>
      </c>
      <c r="AS8" s="373">
        <f t="shared" si="22"/>
        <v>1</v>
      </c>
      <c r="AT8" s="373">
        <f t="shared" si="23"/>
        <v>1</v>
      </c>
      <c r="AU8" s="374">
        <f t="shared" si="24"/>
        <v>1</v>
      </c>
      <c r="AV8" s="423">
        <f>AVERAGE('Cuadro Mando Integral Detallado'!AI256:AI259)</f>
        <v>0.99506781750924778</v>
      </c>
      <c r="AW8" s="382">
        <f t="shared" si="39"/>
        <v>0.99506781750924778</v>
      </c>
      <c r="AX8" s="377">
        <f t="shared" si="25"/>
        <v>0.99506781750924778</v>
      </c>
      <c r="AY8" s="377">
        <f t="shared" si="26"/>
        <v>0.99506781750924778</v>
      </c>
      <c r="AZ8" s="377">
        <f t="shared" si="27"/>
        <v>0.99506781750924778</v>
      </c>
      <c r="BA8" s="378">
        <f t="shared" si="28"/>
        <v>0.99506781750924778</v>
      </c>
    </row>
    <row r="9" spans="1:53" ht="18" x14ac:dyDescent="0.25">
      <c r="A9" s="370" t="s">
        <v>500</v>
      </c>
      <c r="B9" s="421"/>
      <c r="C9" s="423">
        <f>AVERAGE('Cuadro Mando Integral Detallado'!L313:L330,'Cuadro Mando Integral Detallado'!L357:L359,'Cuadro Mando Integral Detallado'!L362:L363)</f>
        <v>1</v>
      </c>
      <c r="D9" s="382">
        <f>+C9</f>
        <v>1</v>
      </c>
      <c r="E9" s="373">
        <f>+C9</f>
        <v>1</v>
      </c>
      <c r="F9" s="373">
        <f>+C9</f>
        <v>1</v>
      </c>
      <c r="G9" s="373">
        <f>+C9</f>
        <v>1</v>
      </c>
      <c r="H9" s="374">
        <f>+C9</f>
        <v>1</v>
      </c>
      <c r="I9" s="423">
        <f>AVERAGE('Cuadro Mando Integral Detallado'!O313:O330,'Cuadro Mando Integral Detallado'!O357,'Cuadro Mando Integral Detallado'!O358:O359,'Cuadro Mando Integral Detallado'!O362:O363)</f>
        <v>0.25</v>
      </c>
      <c r="J9" s="376">
        <f>+I9</f>
        <v>0.25</v>
      </c>
      <c r="K9" s="377">
        <f>+I9</f>
        <v>0.25</v>
      </c>
      <c r="L9" s="377">
        <f>+I9</f>
        <v>0.25</v>
      </c>
      <c r="M9" s="377">
        <f>+I9</f>
        <v>0.25</v>
      </c>
      <c r="N9" s="378">
        <f>+I9</f>
        <v>0.25</v>
      </c>
      <c r="O9" s="11"/>
      <c r="P9" s="423">
        <f>AVERAGE('Cuadro Mando Integral Detallado'!S313:S330,'Cuadro Mando Integral Detallado'!S355,'Cuadro Mando Integral Detallado'!S357:S359,'Cuadro Mando Integral Detallado'!S362:S363)</f>
        <v>0.75</v>
      </c>
      <c r="Q9" s="382">
        <f t="shared" si="0"/>
        <v>0.75</v>
      </c>
      <c r="R9" s="373">
        <f t="shared" si="1"/>
        <v>0.75</v>
      </c>
      <c r="S9" s="373">
        <f t="shared" si="2"/>
        <v>0.75</v>
      </c>
      <c r="T9" s="373">
        <f t="shared" si="3"/>
        <v>0.75</v>
      </c>
      <c r="U9" s="374">
        <f t="shared" si="4"/>
        <v>0.75</v>
      </c>
      <c r="V9" s="423">
        <f>AVERAGE('Cuadro Mando Integral Detallado'!V313:V330,'Cuadro Mando Integral Detallado'!V355,'Cuadro Mando Integral Detallado'!V357:V359,'Cuadro Mando Integral Detallado'!V362:V363)</f>
        <v>0.375</v>
      </c>
      <c r="W9" s="376">
        <f t="shared" si="5"/>
        <v>0.375</v>
      </c>
      <c r="X9" s="377">
        <f t="shared" si="6"/>
        <v>0.375</v>
      </c>
      <c r="Y9" s="377">
        <f t="shared" si="7"/>
        <v>0.375</v>
      </c>
      <c r="Z9" s="377">
        <f t="shared" si="8"/>
        <v>0.375</v>
      </c>
      <c r="AA9" s="378">
        <f t="shared" si="9"/>
        <v>0.375</v>
      </c>
      <c r="AB9" s="409"/>
      <c r="AC9" s="423">
        <f>AVERAGE('Cuadro Mando Integral Detallado'!Z313:Z330,'Cuadro Mando Integral Detallado'!Z357,'Cuadro Mando Integral Detallado'!Z358:Z359,'Cuadro Mando Integral Detallado'!Z362:Z363)</f>
        <v>0.5</v>
      </c>
      <c r="AD9" s="382">
        <f t="shared" si="40"/>
        <v>0.5</v>
      </c>
      <c r="AE9" s="373">
        <f t="shared" si="41"/>
        <v>0.5</v>
      </c>
      <c r="AF9" s="373">
        <f t="shared" si="42"/>
        <v>0.5</v>
      </c>
      <c r="AG9" s="373">
        <f t="shared" si="43"/>
        <v>0.5</v>
      </c>
      <c r="AH9" s="374">
        <f t="shared" si="44"/>
        <v>0.5</v>
      </c>
      <c r="AI9" s="423">
        <f>AVERAGE('Cuadro Mando Integral Detallado'!AC313:AC330,'Cuadro Mando Integral Detallado'!AC357,'Cuadro Mando Integral Detallado'!AC358:AC359,'Cuadro Mando Integral Detallado'!AC362:AC363)</f>
        <v>0.55555555555555547</v>
      </c>
      <c r="AJ9" s="382">
        <f t="shared" ref="AJ9" si="50">+AI9</f>
        <v>0.55555555555555547</v>
      </c>
      <c r="AK9" s="377">
        <f t="shared" ref="AK9" si="51">+AI9</f>
        <v>0.55555555555555547</v>
      </c>
      <c r="AL9" s="377">
        <f t="shared" ref="AL9" si="52">+AI9</f>
        <v>0.55555555555555547</v>
      </c>
      <c r="AM9" s="377">
        <f t="shared" ref="AM9" si="53">+AI9</f>
        <v>0.55555555555555547</v>
      </c>
      <c r="AN9" s="378">
        <f t="shared" ref="AN9" si="54">+AI9</f>
        <v>0.55555555555555547</v>
      </c>
      <c r="AO9" s="409"/>
      <c r="AP9" s="423">
        <f>AVERAGE('Cuadro Mando Integral Detallado'!AG313:AG330,'Cuadro Mando Integral Detallado'!AG357,'Cuadro Mando Integral Detallado'!AG358:AG359,'Cuadro Mando Integral Detallado'!AG362:AG363)</f>
        <v>0.5</v>
      </c>
      <c r="AQ9" s="382">
        <f t="shared" si="20"/>
        <v>0.5</v>
      </c>
      <c r="AR9" s="373">
        <f t="shared" si="21"/>
        <v>0.5</v>
      </c>
      <c r="AS9" s="373">
        <f t="shared" si="22"/>
        <v>0.5</v>
      </c>
      <c r="AT9" s="373">
        <f t="shared" si="23"/>
        <v>0.5</v>
      </c>
      <c r="AU9" s="374">
        <f t="shared" si="24"/>
        <v>0.5</v>
      </c>
      <c r="AV9" s="423">
        <f>AVERAGE('Cuadro Mando Integral Detallado'!AI313:AI330,'Cuadro Mando Integral Detallado'!AI357,'Cuadro Mando Integral Detallado'!AI358:AI359,'Cuadro Mando Integral Detallado'!AI362:AI363)</f>
        <v>0.72222222222222221</v>
      </c>
      <c r="AW9" s="382">
        <f t="shared" si="39"/>
        <v>0.72222222222222221</v>
      </c>
      <c r="AX9" s="377">
        <f t="shared" si="25"/>
        <v>0.72222222222222221</v>
      </c>
      <c r="AY9" s="377">
        <f t="shared" si="26"/>
        <v>0.72222222222222221</v>
      </c>
      <c r="AZ9" s="377">
        <f t="shared" si="27"/>
        <v>0.72222222222222221</v>
      </c>
      <c r="BA9" s="378">
        <f t="shared" si="28"/>
        <v>0.72222222222222221</v>
      </c>
    </row>
    <row r="10" spans="1:53" ht="36" x14ac:dyDescent="0.25">
      <c r="A10" s="370" t="s">
        <v>993</v>
      </c>
      <c r="B10" s="421"/>
      <c r="C10" s="423">
        <f>AVERAGE('Cuadro Mando Integral Detallado'!L183,'Cuadro Mando Integral Detallado'!L262:L276,'Cuadro Mando Integral Detallado'!L309:L312)</f>
        <v>0.8</v>
      </c>
      <c r="D10" s="382">
        <f t="shared" ref="D10:D17" si="55">+C10</f>
        <v>0.8</v>
      </c>
      <c r="E10" s="373">
        <f t="shared" ref="E10:E17" si="56">+C10</f>
        <v>0.8</v>
      </c>
      <c r="F10" s="373">
        <f t="shared" ref="F10:F17" si="57">+C10</f>
        <v>0.8</v>
      </c>
      <c r="G10" s="373">
        <f t="shared" ref="G10:G17" si="58">+C10</f>
        <v>0.8</v>
      </c>
      <c r="H10" s="374">
        <f t="shared" ref="H10:H17" si="59">+C10</f>
        <v>0.8</v>
      </c>
      <c r="I10" s="423">
        <f>AVERAGE('Cuadro Mando Integral Detallado'!O183,'Cuadro Mando Integral Detallado'!O262:O276,'Cuadro Mando Integral Detallado'!O309:O312)</f>
        <v>0.5</v>
      </c>
      <c r="J10" s="376">
        <f t="shared" ref="J10:J17" si="60">+I10</f>
        <v>0.5</v>
      </c>
      <c r="K10" s="377">
        <f t="shared" ref="K10:K17" si="61">+I10</f>
        <v>0.5</v>
      </c>
      <c r="L10" s="377">
        <f t="shared" ref="L10:L17" si="62">+I10</f>
        <v>0.5</v>
      </c>
      <c r="M10" s="377">
        <f t="shared" ref="M10:M17" si="63">+I10</f>
        <v>0.5</v>
      </c>
      <c r="N10" s="378">
        <f t="shared" ref="N10:N17" si="64">+I10</f>
        <v>0.5</v>
      </c>
      <c r="O10" s="11"/>
      <c r="P10" s="423">
        <f>AVERAGE('Cuadro Mando Integral Detallado'!S183,'Cuadro Mando Integral Detallado'!S262:S276,'Cuadro Mando Integral Detallado'!S309:S312,'Cuadro Mando Integral Detallado'!S355)</f>
        <v>1</v>
      </c>
      <c r="Q10" s="382"/>
      <c r="R10" s="373"/>
      <c r="S10" s="373"/>
      <c r="T10" s="373"/>
      <c r="U10" s="374"/>
      <c r="V10" s="423">
        <f>AVERAGE('Cuadro Mando Integral Detallado'!V183,'Cuadro Mando Integral Detallado'!V262:V276,'Cuadro Mando Integral Detallado'!V309:V312,'Cuadro Mando Integral Detallado'!V355)</f>
        <v>0.6</v>
      </c>
      <c r="W10" s="376">
        <f t="shared" ref="W10:W17" si="65">+V10</f>
        <v>0.6</v>
      </c>
      <c r="X10" s="377">
        <f t="shared" ref="X10:X17" si="66">+V10</f>
        <v>0.6</v>
      </c>
      <c r="Y10" s="377">
        <f t="shared" ref="Y10:Y17" si="67">+V10</f>
        <v>0.6</v>
      </c>
      <c r="Z10" s="377">
        <f t="shared" ref="Z10:Z17" si="68">+V10</f>
        <v>0.6</v>
      </c>
      <c r="AA10" s="378">
        <f t="shared" ref="AA10:AA17" si="69">+V10</f>
        <v>0.6</v>
      </c>
      <c r="AB10" s="409"/>
      <c r="AC10" s="423">
        <f>AVERAGE('Cuadro Mando Integral Detallado'!Z183,'Cuadro Mando Integral Detallado'!Z262:Z276,'Cuadro Mando Integral Detallado'!Z309:Z312)</f>
        <v>0.875</v>
      </c>
      <c r="AD10" s="382">
        <f t="shared" ref="AD10" si="70">+AC10</f>
        <v>0.875</v>
      </c>
      <c r="AE10" s="373">
        <f t="shared" ref="AE10" si="71">+AC10</f>
        <v>0.875</v>
      </c>
      <c r="AF10" s="373">
        <f t="shared" ref="AF10" si="72">+AC10</f>
        <v>0.875</v>
      </c>
      <c r="AG10" s="373">
        <f t="shared" ref="AG10" si="73">+AC10</f>
        <v>0.875</v>
      </c>
      <c r="AH10" s="374">
        <f t="shared" ref="AH10" si="74">+AC10</f>
        <v>0.875</v>
      </c>
      <c r="AI10" s="423">
        <f>AVERAGE('Cuadro Mando Integral Detallado'!AC183,'Cuadro Mando Integral Detallado'!AC262:AC276,'Cuadro Mando Integral Detallado'!AC309:AC312)</f>
        <v>0.79166666666666663</v>
      </c>
      <c r="AJ10" s="382">
        <f t="shared" ref="AJ10" si="75">+AI10</f>
        <v>0.79166666666666663</v>
      </c>
      <c r="AK10" s="377">
        <f t="shared" ref="AK10" si="76">+AI10</f>
        <v>0.79166666666666663</v>
      </c>
      <c r="AL10" s="377">
        <f t="shared" ref="AL10" si="77">+AI10</f>
        <v>0.79166666666666663</v>
      </c>
      <c r="AM10" s="377">
        <f t="shared" ref="AM10" si="78">+AI10</f>
        <v>0.79166666666666663</v>
      </c>
      <c r="AN10" s="378">
        <f t="shared" ref="AN10" si="79">+AI10</f>
        <v>0.79166666666666663</v>
      </c>
      <c r="AO10" s="409"/>
      <c r="AP10" s="423">
        <f>AVERAGE('Cuadro Mando Integral Detallado'!AG183,'Cuadro Mando Integral Detallado'!AG262:AG276,'Cuadro Mando Integral Detallado'!AG309:AG312)</f>
        <v>1</v>
      </c>
      <c r="AQ10" s="382">
        <f>+AP10</f>
        <v>1</v>
      </c>
      <c r="AR10" s="373">
        <f>+AP10</f>
        <v>1</v>
      </c>
      <c r="AS10" s="373">
        <f>+AP10</f>
        <v>1</v>
      </c>
      <c r="AT10" s="373">
        <f>+AP10</f>
        <v>1</v>
      </c>
      <c r="AU10" s="374">
        <f>+AP10</f>
        <v>1</v>
      </c>
      <c r="AV10" s="423">
        <f>AVERAGE('Cuadro Mando Integral Detallado'!AI183,'Cuadro Mando Integral Detallado'!AI262:AI276,'Cuadro Mando Integral Detallado'!AI309:AI312)</f>
        <v>0.82692307692307687</v>
      </c>
      <c r="AW10" s="382">
        <f>+AV10</f>
        <v>0.82692307692307687</v>
      </c>
      <c r="AX10" s="377">
        <f>+AV10</f>
        <v>0.82692307692307687</v>
      </c>
      <c r="AY10" s="377">
        <f>+AV10</f>
        <v>0.82692307692307687</v>
      </c>
      <c r="AZ10" s="377">
        <f>+AV10</f>
        <v>0.82692307692307687</v>
      </c>
      <c r="BA10" s="378">
        <f>+AV10</f>
        <v>0.82692307692307687</v>
      </c>
    </row>
    <row r="11" spans="1:53" ht="36" x14ac:dyDescent="0.25">
      <c r="A11" s="370" t="s">
        <v>1178</v>
      </c>
      <c r="B11" s="421"/>
      <c r="C11" s="423">
        <f>AVERAGE('Cuadro Mando Integral Detallado'!L331:L354)</f>
        <v>1</v>
      </c>
      <c r="D11" s="382">
        <f t="shared" si="55"/>
        <v>1</v>
      </c>
      <c r="E11" s="373">
        <f t="shared" si="56"/>
        <v>1</v>
      </c>
      <c r="F11" s="373">
        <f t="shared" si="57"/>
        <v>1</v>
      </c>
      <c r="G11" s="373">
        <f t="shared" si="58"/>
        <v>1</v>
      </c>
      <c r="H11" s="374">
        <f t="shared" si="59"/>
        <v>1</v>
      </c>
      <c r="I11" s="423">
        <f>AVERAGE('Cuadro Mando Integral Detallado'!O331:O354)</f>
        <v>5.2631578947368418E-2</v>
      </c>
      <c r="J11" s="376">
        <f t="shared" si="60"/>
        <v>5.2631578947368418E-2</v>
      </c>
      <c r="K11" s="377">
        <f t="shared" si="61"/>
        <v>5.2631578947368418E-2</v>
      </c>
      <c r="L11" s="377">
        <f t="shared" si="62"/>
        <v>5.2631578947368418E-2</v>
      </c>
      <c r="M11" s="377">
        <f t="shared" si="63"/>
        <v>5.2631578947368418E-2</v>
      </c>
      <c r="N11" s="378">
        <f t="shared" si="64"/>
        <v>5.2631578947368418E-2</v>
      </c>
      <c r="O11" s="11"/>
      <c r="P11" s="423">
        <f>AVERAGE('Cuadro Mando Integral Detallado'!S331:S354)</f>
        <v>1</v>
      </c>
      <c r="Q11" s="382">
        <f t="shared" si="0"/>
        <v>1</v>
      </c>
      <c r="R11" s="373">
        <f t="shared" si="1"/>
        <v>1</v>
      </c>
      <c r="S11" s="373">
        <f t="shared" si="2"/>
        <v>1</v>
      </c>
      <c r="T11" s="373">
        <f t="shared" si="3"/>
        <v>1</v>
      </c>
      <c r="U11" s="374">
        <f t="shared" si="4"/>
        <v>1</v>
      </c>
      <c r="V11" s="423">
        <f>AVERAGE('Cuadro Mando Integral Detallado'!V331:V354)</f>
        <v>0.15789473684210525</v>
      </c>
      <c r="W11" s="376">
        <f t="shared" si="65"/>
        <v>0.15789473684210525</v>
      </c>
      <c r="X11" s="377">
        <f t="shared" si="66"/>
        <v>0.15789473684210525</v>
      </c>
      <c r="Y11" s="377">
        <f t="shared" si="67"/>
        <v>0.15789473684210525</v>
      </c>
      <c r="Z11" s="377">
        <f t="shared" si="68"/>
        <v>0.15789473684210525</v>
      </c>
      <c r="AA11" s="378">
        <f t="shared" si="69"/>
        <v>0.15789473684210525</v>
      </c>
      <c r="AB11" s="409"/>
      <c r="AC11" s="423">
        <f>AVERAGE('Cuadro Mando Integral Detallado'!Z331:Z354)</f>
        <v>0.25</v>
      </c>
      <c r="AD11" s="382">
        <f t="shared" ref="AD11" si="80">+AC11</f>
        <v>0.25</v>
      </c>
      <c r="AE11" s="373">
        <f t="shared" ref="AE11" si="81">+AC11</f>
        <v>0.25</v>
      </c>
      <c r="AF11" s="373">
        <f t="shared" ref="AF11" si="82">+AC11</f>
        <v>0.25</v>
      </c>
      <c r="AG11" s="373">
        <f t="shared" ref="AG11" si="83">+AC11</f>
        <v>0.25</v>
      </c>
      <c r="AH11" s="374">
        <f t="shared" ref="AH11" si="84">+AC11</f>
        <v>0.25</v>
      </c>
      <c r="AI11" s="423">
        <f>AVERAGE('Cuadro Mando Integral Detallado'!AC331:AC354)</f>
        <v>0.15789473684210525</v>
      </c>
      <c r="AJ11" s="382">
        <f t="shared" ref="AJ11" si="85">+AI11</f>
        <v>0.15789473684210525</v>
      </c>
      <c r="AK11" s="377">
        <f t="shared" ref="AK11" si="86">+AI11</f>
        <v>0.15789473684210525</v>
      </c>
      <c r="AL11" s="377">
        <f t="shared" ref="AL11" si="87">+AI11</f>
        <v>0.15789473684210525</v>
      </c>
      <c r="AM11" s="377">
        <f t="shared" ref="AM11" si="88">+AI11</f>
        <v>0.15789473684210525</v>
      </c>
      <c r="AN11" s="378">
        <f t="shared" ref="AN11" si="89">+AI11</f>
        <v>0.15789473684210525</v>
      </c>
      <c r="AO11" s="409"/>
      <c r="AP11" s="423">
        <f>AVERAGE('Cuadro Mando Integral Detallado'!AG331:AG354)</f>
        <v>1</v>
      </c>
      <c r="AQ11" s="382">
        <f t="shared" si="20"/>
        <v>1</v>
      </c>
      <c r="AR11" s="373">
        <f t="shared" si="21"/>
        <v>1</v>
      </c>
      <c r="AS11" s="373">
        <f t="shared" si="22"/>
        <v>1</v>
      </c>
      <c r="AT11" s="373">
        <f t="shared" si="23"/>
        <v>1</v>
      </c>
      <c r="AU11" s="374">
        <f t="shared" si="24"/>
        <v>1</v>
      </c>
      <c r="AV11" s="423">
        <f>AVERAGE('Cuadro Mando Integral Detallado'!AI331:AI354)</f>
        <v>1</v>
      </c>
      <c r="AW11" s="382">
        <f t="shared" si="39"/>
        <v>1</v>
      </c>
      <c r="AX11" s="377">
        <f t="shared" si="25"/>
        <v>1</v>
      </c>
      <c r="AY11" s="377">
        <f t="shared" si="26"/>
        <v>1</v>
      </c>
      <c r="AZ11" s="377">
        <f t="shared" si="27"/>
        <v>1</v>
      </c>
      <c r="BA11" s="378">
        <f t="shared" si="28"/>
        <v>1</v>
      </c>
    </row>
    <row r="12" spans="1:53" ht="18" x14ac:dyDescent="0.25">
      <c r="A12" s="424" t="s">
        <v>842</v>
      </c>
      <c r="B12" s="421"/>
      <c r="C12" s="423" t="e">
        <f>AVERAGE('Cuadro Mando Integral Detallado'!L277:L279)</f>
        <v>#DIV/0!</v>
      </c>
      <c r="D12" s="382" t="e">
        <f t="shared" si="55"/>
        <v>#DIV/0!</v>
      </c>
      <c r="E12" s="373" t="e">
        <f t="shared" si="56"/>
        <v>#DIV/0!</v>
      </c>
      <c r="F12" s="373" t="e">
        <f t="shared" si="57"/>
        <v>#DIV/0!</v>
      </c>
      <c r="G12" s="373" t="e">
        <f t="shared" si="58"/>
        <v>#DIV/0!</v>
      </c>
      <c r="H12" s="374" t="e">
        <f t="shared" si="59"/>
        <v>#DIV/0!</v>
      </c>
      <c r="I12" s="423" t="e">
        <f>AVERAGE('Cuadro Mando Integral Detallado'!O277:O279)</f>
        <v>#DIV/0!</v>
      </c>
      <c r="J12" s="376" t="e">
        <f t="shared" si="60"/>
        <v>#DIV/0!</v>
      </c>
      <c r="K12" s="377" t="e">
        <f t="shared" si="61"/>
        <v>#DIV/0!</v>
      </c>
      <c r="L12" s="377" t="e">
        <f t="shared" si="62"/>
        <v>#DIV/0!</v>
      </c>
      <c r="M12" s="377" t="e">
        <f t="shared" si="63"/>
        <v>#DIV/0!</v>
      </c>
      <c r="N12" s="378" t="e">
        <f t="shared" si="64"/>
        <v>#DIV/0!</v>
      </c>
      <c r="O12" s="11"/>
      <c r="P12" s="423" t="e">
        <f>AVERAGE('Cuadro Mando Integral Detallado'!S277:S279)</f>
        <v>#DIV/0!</v>
      </c>
      <c r="Q12" s="382" t="e">
        <f t="shared" si="0"/>
        <v>#DIV/0!</v>
      </c>
      <c r="R12" s="373" t="e">
        <f t="shared" si="1"/>
        <v>#DIV/0!</v>
      </c>
      <c r="S12" s="373" t="e">
        <f t="shared" si="2"/>
        <v>#DIV/0!</v>
      </c>
      <c r="T12" s="373" t="e">
        <f t="shared" si="3"/>
        <v>#DIV/0!</v>
      </c>
      <c r="U12" s="374" t="e">
        <f t="shared" si="4"/>
        <v>#DIV/0!</v>
      </c>
      <c r="V12" s="423" t="e">
        <f>AVERAGE('Cuadro Mando Integral Detallado'!V277:V279)</f>
        <v>#DIV/0!</v>
      </c>
      <c r="W12" s="376" t="e">
        <f t="shared" si="65"/>
        <v>#DIV/0!</v>
      </c>
      <c r="X12" s="377" t="e">
        <f t="shared" si="66"/>
        <v>#DIV/0!</v>
      </c>
      <c r="Y12" s="377" t="e">
        <f t="shared" si="67"/>
        <v>#DIV/0!</v>
      </c>
      <c r="Z12" s="377" t="e">
        <f t="shared" si="68"/>
        <v>#DIV/0!</v>
      </c>
      <c r="AA12" s="378" t="e">
        <f t="shared" si="69"/>
        <v>#DIV/0!</v>
      </c>
      <c r="AB12" s="409"/>
      <c r="AC12" s="423">
        <f>AVERAGE('Cuadro Mando Integral Detallado'!Z277:Z279)</f>
        <v>0.33333333333333331</v>
      </c>
      <c r="AD12" s="382">
        <f t="shared" ref="AD12" si="90">+AC12</f>
        <v>0.33333333333333331</v>
      </c>
      <c r="AE12" s="373">
        <f t="shared" ref="AE12" si="91">+AC12</f>
        <v>0.33333333333333331</v>
      </c>
      <c r="AF12" s="373">
        <f t="shared" ref="AF12" si="92">+AC12</f>
        <v>0.33333333333333331</v>
      </c>
      <c r="AG12" s="373">
        <f t="shared" ref="AG12" si="93">+AC12</f>
        <v>0.33333333333333331</v>
      </c>
      <c r="AH12" s="374">
        <f t="shared" ref="AH12" si="94">+AC12</f>
        <v>0.33333333333333331</v>
      </c>
      <c r="AI12" s="423">
        <f>AVERAGE('Cuadro Mando Integral Detallado'!AC277:AC279)</f>
        <v>0.33333333333333331</v>
      </c>
      <c r="AJ12" s="382">
        <f t="shared" ref="AJ12" si="95">+AI12</f>
        <v>0.33333333333333331</v>
      </c>
      <c r="AK12" s="377">
        <f t="shared" ref="AK12" si="96">+AI12</f>
        <v>0.33333333333333331</v>
      </c>
      <c r="AL12" s="377">
        <f t="shared" ref="AL12" si="97">+AI12</f>
        <v>0.33333333333333331</v>
      </c>
      <c r="AM12" s="377">
        <f t="shared" ref="AM12" si="98">+AI12</f>
        <v>0.33333333333333331</v>
      </c>
      <c r="AN12" s="378">
        <f t="shared" ref="AN12" si="99">+AI12</f>
        <v>0.33333333333333331</v>
      </c>
      <c r="AO12" s="409"/>
      <c r="AP12" s="423" t="e">
        <f>AVERAGE('Cuadro Mando Integral Detallado'!AG277:AG279)</f>
        <v>#DIV/0!</v>
      </c>
      <c r="AQ12" s="382" t="e">
        <f t="shared" si="20"/>
        <v>#DIV/0!</v>
      </c>
      <c r="AR12" s="373" t="e">
        <f t="shared" si="21"/>
        <v>#DIV/0!</v>
      </c>
      <c r="AS12" s="373" t="e">
        <f t="shared" si="22"/>
        <v>#DIV/0!</v>
      </c>
      <c r="AT12" s="373" t="e">
        <f t="shared" si="23"/>
        <v>#DIV/0!</v>
      </c>
      <c r="AU12" s="374" t="e">
        <f t="shared" si="24"/>
        <v>#DIV/0!</v>
      </c>
      <c r="AV12" s="423">
        <f>AVERAGE('Cuadro Mando Integral Detallado'!AI277:AI279)</f>
        <v>0.33333333333333331</v>
      </c>
      <c r="AW12" s="382">
        <f t="shared" si="39"/>
        <v>0.33333333333333331</v>
      </c>
      <c r="AX12" s="377">
        <f t="shared" si="25"/>
        <v>0.33333333333333331</v>
      </c>
      <c r="AY12" s="377">
        <f t="shared" si="26"/>
        <v>0.33333333333333331</v>
      </c>
      <c r="AZ12" s="377">
        <f t="shared" si="27"/>
        <v>0.33333333333333331</v>
      </c>
      <c r="BA12" s="378">
        <f t="shared" si="28"/>
        <v>0.33333333333333331</v>
      </c>
    </row>
    <row r="13" spans="1:53" ht="36" x14ac:dyDescent="0.25">
      <c r="A13" s="424" t="s">
        <v>990</v>
      </c>
      <c r="B13" s="421"/>
      <c r="C13" s="423">
        <f>AVERAGE('Cuadro Mando Integral Detallado'!L282:L284)</f>
        <v>0.66666666666666663</v>
      </c>
      <c r="D13" s="382">
        <f t="shared" si="55"/>
        <v>0.66666666666666663</v>
      </c>
      <c r="E13" s="373">
        <f t="shared" si="56"/>
        <v>0.66666666666666663</v>
      </c>
      <c r="F13" s="373">
        <f t="shared" si="57"/>
        <v>0.66666666666666663</v>
      </c>
      <c r="G13" s="373">
        <f t="shared" si="58"/>
        <v>0.66666666666666663</v>
      </c>
      <c r="H13" s="374">
        <f t="shared" si="59"/>
        <v>0.66666666666666663</v>
      </c>
      <c r="I13" s="423">
        <f>AVERAGE('Cuadro Mando Integral Detallado'!O282:O284)</f>
        <v>0.16666666666666666</v>
      </c>
      <c r="J13" s="376">
        <f t="shared" si="60"/>
        <v>0.16666666666666666</v>
      </c>
      <c r="K13" s="377">
        <f t="shared" si="61"/>
        <v>0.16666666666666666</v>
      </c>
      <c r="L13" s="377">
        <f t="shared" si="62"/>
        <v>0.16666666666666666</v>
      </c>
      <c r="M13" s="377">
        <f t="shared" si="63"/>
        <v>0.16666666666666666</v>
      </c>
      <c r="N13" s="378">
        <f t="shared" si="64"/>
        <v>0.16666666666666666</v>
      </c>
      <c r="O13" s="11"/>
      <c r="P13" s="423">
        <f>AVERAGE('Cuadro Mando Integral Detallado'!S282:S284)</f>
        <v>0.77777777777777768</v>
      </c>
      <c r="Q13" s="382">
        <f t="shared" si="0"/>
        <v>0.77777777777777768</v>
      </c>
      <c r="R13" s="373">
        <f t="shared" si="1"/>
        <v>0.77777777777777768</v>
      </c>
      <c r="S13" s="373">
        <f t="shared" si="2"/>
        <v>0.77777777777777768</v>
      </c>
      <c r="T13" s="373">
        <f t="shared" si="3"/>
        <v>0.77777777777777768</v>
      </c>
      <c r="U13" s="374">
        <f t="shared" si="4"/>
        <v>0.77777777777777768</v>
      </c>
      <c r="V13" s="423">
        <f>AVERAGE('Cuadro Mando Integral Detallado'!V282:V284)</f>
        <v>0.36363636363636359</v>
      </c>
      <c r="W13" s="376">
        <f t="shared" si="65"/>
        <v>0.36363636363636359</v>
      </c>
      <c r="X13" s="377">
        <f t="shared" si="66"/>
        <v>0.36363636363636359</v>
      </c>
      <c r="Y13" s="377">
        <f t="shared" si="67"/>
        <v>0.36363636363636359</v>
      </c>
      <c r="Z13" s="377">
        <f t="shared" si="68"/>
        <v>0.36363636363636359</v>
      </c>
      <c r="AA13" s="378">
        <f t="shared" si="69"/>
        <v>0.36363636363636359</v>
      </c>
      <c r="AB13" s="409"/>
      <c r="AC13" s="423">
        <f>AVERAGE('Cuadro Mando Integral Detallado'!Z282:Z284)</f>
        <v>0.77777777777777768</v>
      </c>
      <c r="AD13" s="382">
        <f t="shared" ref="AD13" si="100">+AC13</f>
        <v>0.77777777777777768</v>
      </c>
      <c r="AE13" s="373">
        <f t="shared" ref="AE13" si="101">+AC13</f>
        <v>0.77777777777777768</v>
      </c>
      <c r="AF13" s="373">
        <f t="shared" ref="AF13" si="102">+AC13</f>
        <v>0.77777777777777768</v>
      </c>
      <c r="AG13" s="373">
        <f t="shared" ref="AG13" si="103">+AC13</f>
        <v>0.77777777777777768</v>
      </c>
      <c r="AH13" s="374">
        <f t="shared" ref="AH13" si="104">+AC13</f>
        <v>0.77777777777777768</v>
      </c>
      <c r="AI13" s="423">
        <f>AVERAGE('Cuadro Mando Integral Detallado'!AC282:AC284)</f>
        <v>0.56060606060606066</v>
      </c>
      <c r="AJ13" s="382">
        <f t="shared" ref="AJ13" si="105">+AI13</f>
        <v>0.56060606060606066</v>
      </c>
      <c r="AK13" s="377">
        <f t="shared" ref="AK13" si="106">+AI13</f>
        <v>0.56060606060606066</v>
      </c>
      <c r="AL13" s="377">
        <f t="shared" ref="AL13" si="107">+AI13</f>
        <v>0.56060606060606066</v>
      </c>
      <c r="AM13" s="377">
        <f t="shared" ref="AM13" si="108">+AI13</f>
        <v>0.56060606060606066</v>
      </c>
      <c r="AN13" s="378">
        <f t="shared" ref="AN13" si="109">+AI13</f>
        <v>0.56060606060606066</v>
      </c>
      <c r="AO13" s="409"/>
      <c r="AP13" s="423">
        <f>AVERAGE('Cuadro Mando Integral Detallado'!AG282:AG284)</f>
        <v>0.66666666666666663</v>
      </c>
      <c r="AQ13" s="382">
        <f t="shared" si="20"/>
        <v>0.66666666666666663</v>
      </c>
      <c r="AR13" s="373">
        <f t="shared" si="21"/>
        <v>0.66666666666666663</v>
      </c>
      <c r="AS13" s="373">
        <f t="shared" si="22"/>
        <v>0.66666666666666663</v>
      </c>
      <c r="AT13" s="373">
        <f t="shared" si="23"/>
        <v>0.66666666666666663</v>
      </c>
      <c r="AU13" s="374">
        <f t="shared" si="24"/>
        <v>0.66666666666666663</v>
      </c>
      <c r="AV13" s="423">
        <f>AVERAGE('Cuadro Mando Integral Detallado'!AI282:AI284)</f>
        <v>0.72727272727272718</v>
      </c>
      <c r="AW13" s="382">
        <f>+AV13</f>
        <v>0.72727272727272718</v>
      </c>
      <c r="AX13" s="377">
        <f t="shared" si="25"/>
        <v>0.72727272727272718</v>
      </c>
      <c r="AY13" s="377">
        <f t="shared" si="26"/>
        <v>0.72727272727272718</v>
      </c>
      <c r="AZ13" s="377">
        <f t="shared" si="27"/>
        <v>0.72727272727272718</v>
      </c>
      <c r="BA13" s="378">
        <f t="shared" si="28"/>
        <v>0.72727272727272718</v>
      </c>
    </row>
    <row r="14" spans="1:53" ht="36" x14ac:dyDescent="0.25">
      <c r="A14" s="424" t="s">
        <v>1221</v>
      </c>
      <c r="B14" s="421"/>
      <c r="C14" s="423">
        <f>AVERAGE('Cuadro Mando Integral Detallado'!L313:L330,'Cuadro Mando Integral Detallado'!L357:L359,'Cuadro Mando Integral Detallado'!L362:L363,'Cuadro Mando Integral Detallado'!L183,'Cuadro Mando Integral Detallado'!L262:L276,'Cuadro Mando Integral Detallado'!L309:L312,'Cuadro Mando Integral Detallado'!L331:L354,'Cuadro Mando Integral Detallado'!L277:L279,'Cuadro Mando Integral Detallado'!L282:L284)</f>
        <v>0.81818181818181823</v>
      </c>
      <c r="D14" s="382">
        <f t="shared" si="55"/>
        <v>0.81818181818181823</v>
      </c>
      <c r="E14" s="373">
        <f t="shared" si="56"/>
        <v>0.81818181818181823</v>
      </c>
      <c r="F14" s="373">
        <f t="shared" si="57"/>
        <v>0.81818181818181823</v>
      </c>
      <c r="G14" s="373">
        <f t="shared" si="58"/>
        <v>0.81818181818181823</v>
      </c>
      <c r="H14" s="374">
        <f t="shared" si="59"/>
        <v>0.81818181818181823</v>
      </c>
      <c r="I14" s="423">
        <f>AVERAGE('Cuadro Mando Integral Detallado'!O313:O330,'Cuadro Mando Integral Detallado'!O357,'Cuadro Mando Integral Detallado'!O358:O359,'Cuadro Mando Integral Detallado'!O362:O363,'Cuadro Mando Integral Detallado'!O183,'Cuadro Mando Integral Detallado'!O262:O276,'Cuadro Mando Integral Detallado'!O309:O312,'Cuadro Mando Integral Detallado'!O331:O354,'Cuadro Mando Integral Detallado'!O277:O279,'Cuadro Mando Integral Detallado'!O282:O284)</f>
        <v>0.32296650717703351</v>
      </c>
      <c r="J14" s="376">
        <f t="shared" si="60"/>
        <v>0.32296650717703351</v>
      </c>
      <c r="K14" s="377">
        <f t="shared" si="61"/>
        <v>0.32296650717703351</v>
      </c>
      <c r="L14" s="377">
        <f t="shared" si="62"/>
        <v>0.32296650717703351</v>
      </c>
      <c r="M14" s="377">
        <f t="shared" si="63"/>
        <v>0.32296650717703351</v>
      </c>
      <c r="N14" s="378">
        <f t="shared" si="64"/>
        <v>0.32296650717703351</v>
      </c>
      <c r="O14" s="11"/>
      <c r="P14" s="423">
        <f>AVERAGE('Cuadro Mando Integral Detallado'!S313:S330,'Cuadro Mando Integral Detallado'!S355,'Cuadro Mando Integral Detallado'!S357:S359,'Cuadro Mando Integral Detallado'!S362:S363,'Cuadro Mando Integral Detallado'!S183,'Cuadro Mando Integral Detallado'!S262:S276,'Cuadro Mando Integral Detallado'!S309:S312,'Cuadro Mando Integral Detallado'!S331:S354,'Cuadro Mando Integral Detallado'!S277:S279,'Cuadro Mando Integral Detallado'!S282:S284)</f>
        <v>0.80952380952380953</v>
      </c>
      <c r="Q14" s="382">
        <f>+P14</f>
        <v>0.80952380952380953</v>
      </c>
      <c r="R14" s="373">
        <f>+P14</f>
        <v>0.80952380952380953</v>
      </c>
      <c r="S14" s="373">
        <f>+P14</f>
        <v>0.80952380952380953</v>
      </c>
      <c r="T14" s="373">
        <f>+P14</f>
        <v>0.80952380952380953</v>
      </c>
      <c r="U14" s="374">
        <f>+P14</f>
        <v>0.80952380952380953</v>
      </c>
      <c r="V14" s="423">
        <f>AVERAGE('Cuadro Mando Integral Detallado'!V313:V330,'Cuadro Mando Integral Detallado'!V355,'Cuadro Mando Integral Detallado'!V357:V359,'Cuadro Mando Integral Detallado'!V362:V363,'Cuadro Mando Integral Detallado'!V183,'Cuadro Mando Integral Detallado'!V262:V276,'Cuadro Mando Integral Detallado'!V309:V312,'Cuadro Mando Integral Detallado'!V331:V354,'Cuadro Mando Integral Detallado'!V277:V279,'Cuadro Mando Integral Detallado'!V282:V284)</f>
        <v>0.42640022516183507</v>
      </c>
      <c r="W14" s="376">
        <f t="shared" si="65"/>
        <v>0.42640022516183507</v>
      </c>
      <c r="X14" s="377">
        <f t="shared" si="66"/>
        <v>0.42640022516183507</v>
      </c>
      <c r="Y14" s="377">
        <f t="shared" si="67"/>
        <v>0.42640022516183507</v>
      </c>
      <c r="Z14" s="377">
        <f t="shared" si="68"/>
        <v>0.42640022516183507</v>
      </c>
      <c r="AA14" s="378">
        <f t="shared" si="69"/>
        <v>0.42640022516183507</v>
      </c>
      <c r="AB14" s="409"/>
      <c r="AC14" s="423">
        <f>AVERAGE('Cuadro Mando Integral Detallado'!Z313:Z330,'Cuadro Mando Integral Detallado'!Z357,'Cuadro Mando Integral Detallado'!Z358:Z359,'Cuadro Mando Integral Detallado'!Z362:Z363,'Cuadro Mando Integral Detallado'!Z183,'Cuadro Mando Integral Detallado'!Z262:Z276,'Cuadro Mando Integral Detallado'!Z309:Z312,'Cuadro Mando Integral Detallado'!Z331:Z354,'Cuadro Mando Integral Detallado'!Z277:Z279,'Cuadro Mando Integral Detallado'!Z282:Z284)</f>
        <v>0.58854166666666663</v>
      </c>
      <c r="AD14" s="382">
        <f t="shared" ref="AD14" si="110">+AC14</f>
        <v>0.58854166666666663</v>
      </c>
      <c r="AE14" s="373">
        <f t="shared" ref="AE14" si="111">+AC14</f>
        <v>0.58854166666666663</v>
      </c>
      <c r="AF14" s="373">
        <f t="shared" ref="AF14" si="112">+AC14</f>
        <v>0.58854166666666663</v>
      </c>
      <c r="AG14" s="373">
        <f t="shared" ref="AG14" si="113">+AC14</f>
        <v>0.58854166666666663</v>
      </c>
      <c r="AH14" s="374">
        <f t="shared" ref="AH14" si="114">+AC14</f>
        <v>0.58854166666666663</v>
      </c>
      <c r="AI14" s="423">
        <f>AVERAGE('Cuadro Mando Integral Detallado'!AC313:AC330,'Cuadro Mando Integral Detallado'!AC357,'Cuadro Mando Integral Detallado'!AC358:AC359,'Cuadro Mando Integral Detallado'!AC362:AC363,'Cuadro Mando Integral Detallado'!AC183,'Cuadro Mando Integral Detallado'!AC262:AC276,'Cuadro Mando Integral Detallado'!AC309:AC312,'Cuadro Mando Integral Detallado'!AC331:AC354,'Cuadro Mando Integral Detallado'!AC277:AC279,'Cuadro Mando Integral Detallado'!AC282:AC284)</f>
        <v>0.59516974253816357</v>
      </c>
      <c r="AJ14" s="382">
        <f t="shared" ref="AJ14" si="115">+AI14</f>
        <v>0.59516974253816357</v>
      </c>
      <c r="AK14" s="377">
        <f t="shared" ref="AK14" si="116">+AI14</f>
        <v>0.59516974253816357</v>
      </c>
      <c r="AL14" s="377">
        <f t="shared" ref="AL14" si="117">+AI14</f>
        <v>0.59516974253816357</v>
      </c>
      <c r="AM14" s="377">
        <f t="shared" ref="AM14" si="118">+AI14</f>
        <v>0.59516974253816357</v>
      </c>
      <c r="AN14" s="378">
        <f t="shared" ref="AN14" si="119">+AI14</f>
        <v>0.59516974253816357</v>
      </c>
      <c r="AO14" s="409"/>
      <c r="AP14" s="423">
        <f>AVERAGE('Cuadro Mando Integral Detallado'!AG313:AG330,'Cuadro Mando Integral Detallado'!AG357,'Cuadro Mando Integral Detallado'!AG358:AG359,'Cuadro Mando Integral Detallado'!AG362:AG363,'Cuadro Mando Integral Detallado'!AG183,'Cuadro Mando Integral Detallado'!AG262:AG276,'Cuadro Mando Integral Detallado'!AG309:AG312,'Cuadro Mando Integral Detallado'!AG331:AG354,'Cuadro Mando Integral Detallado'!AG277:AG279,'Cuadro Mando Integral Detallado'!AG282:AG284)</f>
        <v>0.61904761904761907</v>
      </c>
      <c r="AQ14" s="382">
        <f>+AP14</f>
        <v>0.61904761904761907</v>
      </c>
      <c r="AR14" s="373">
        <f>+AP14</f>
        <v>0.61904761904761907</v>
      </c>
      <c r="AS14" s="373">
        <f>+AP14</f>
        <v>0.61904761904761907</v>
      </c>
      <c r="AT14" s="373">
        <f>+AP14</f>
        <v>0.61904761904761907</v>
      </c>
      <c r="AU14" s="374">
        <f>+AP14</f>
        <v>0.61904761904761907</v>
      </c>
      <c r="AV14" s="423">
        <f>AVERAGE('Cuadro Mando Integral Detallado'!AI313:AI330,'Cuadro Mando Integral Detallado'!AI357,'Cuadro Mando Integral Detallado'!AI358:AI359,'Cuadro Mando Integral Detallado'!AI362:AI363,'Cuadro Mando Integral Detallado'!AI183,'Cuadro Mando Integral Detallado'!AI262:AI276,'Cuadro Mando Integral Detallado'!AI309:AI312,'Cuadro Mando Integral Detallado'!AI331:AI354,'Cuadro Mando Integral Detallado'!AI277:AI279,'Cuadro Mando Integral Detallado'!AI282:AI284)</f>
        <v>0.74184149184149184</v>
      </c>
      <c r="AW14" s="382">
        <f>+AV14</f>
        <v>0.74184149184149184</v>
      </c>
      <c r="AX14" s="377">
        <f>+AV14</f>
        <v>0.74184149184149184</v>
      </c>
      <c r="AY14" s="377">
        <f>+AV14</f>
        <v>0.74184149184149184</v>
      </c>
      <c r="AZ14" s="377">
        <f>+AV14</f>
        <v>0.74184149184149184</v>
      </c>
      <c r="BA14" s="378">
        <f>+AV14</f>
        <v>0.74184149184149184</v>
      </c>
    </row>
    <row r="15" spans="1:53" ht="54" x14ac:dyDescent="0.25">
      <c r="A15" s="424" t="s">
        <v>1220</v>
      </c>
      <c r="B15" s="421"/>
      <c r="C15" s="423" t="e">
        <f>AVERAGE('Cuadro Mando Integral Detallado'!L297)</f>
        <v>#DIV/0!</v>
      </c>
      <c r="D15" s="382" t="e">
        <f t="shared" si="55"/>
        <v>#DIV/0!</v>
      </c>
      <c r="E15" s="373" t="e">
        <f t="shared" si="56"/>
        <v>#DIV/0!</v>
      </c>
      <c r="F15" s="373" t="e">
        <f t="shared" si="57"/>
        <v>#DIV/0!</v>
      </c>
      <c r="G15" s="373" t="e">
        <f t="shared" si="58"/>
        <v>#DIV/0!</v>
      </c>
      <c r="H15" s="374" t="e">
        <f t="shared" si="59"/>
        <v>#DIV/0!</v>
      </c>
      <c r="I15" s="423" t="e">
        <f>AVERAGE('Cuadro Mando Integral Detallado'!O297)</f>
        <v>#DIV/0!</v>
      </c>
      <c r="J15" s="376" t="e">
        <f t="shared" si="60"/>
        <v>#DIV/0!</v>
      </c>
      <c r="K15" s="377" t="e">
        <f t="shared" si="61"/>
        <v>#DIV/0!</v>
      </c>
      <c r="L15" s="377" t="e">
        <f t="shared" si="62"/>
        <v>#DIV/0!</v>
      </c>
      <c r="M15" s="377" t="e">
        <f t="shared" si="63"/>
        <v>#DIV/0!</v>
      </c>
      <c r="N15" s="378" t="e">
        <f t="shared" si="64"/>
        <v>#DIV/0!</v>
      </c>
      <c r="O15" s="11"/>
      <c r="P15" s="423" t="e">
        <f>AVERAGE('Cuadro Mando Integral Detallado'!S297)</f>
        <v>#DIV/0!</v>
      </c>
      <c r="Q15" s="382" t="e">
        <f t="shared" ref="Q15:Q17" si="120">+P15</f>
        <v>#DIV/0!</v>
      </c>
      <c r="R15" s="373" t="e">
        <f t="shared" ref="R15:R17" si="121">+P15</f>
        <v>#DIV/0!</v>
      </c>
      <c r="S15" s="373" t="e">
        <f t="shared" ref="S15:S17" si="122">+P15</f>
        <v>#DIV/0!</v>
      </c>
      <c r="T15" s="373" t="e">
        <f t="shared" ref="T15:T17" si="123">+P15</f>
        <v>#DIV/0!</v>
      </c>
      <c r="U15" s="374" t="e">
        <f t="shared" ref="U15:U17" si="124">+P15</f>
        <v>#DIV/0!</v>
      </c>
      <c r="V15" s="423" t="e">
        <f>AVERAGE('Cuadro Mando Integral Detallado'!V297)</f>
        <v>#DIV/0!</v>
      </c>
      <c r="W15" s="376" t="e">
        <f t="shared" si="65"/>
        <v>#DIV/0!</v>
      </c>
      <c r="X15" s="377" t="e">
        <f t="shared" si="66"/>
        <v>#DIV/0!</v>
      </c>
      <c r="Y15" s="377" t="e">
        <f t="shared" si="67"/>
        <v>#DIV/0!</v>
      </c>
      <c r="Z15" s="377" t="e">
        <f t="shared" si="68"/>
        <v>#DIV/0!</v>
      </c>
      <c r="AA15" s="378" t="e">
        <f t="shared" si="69"/>
        <v>#DIV/0!</v>
      </c>
      <c r="AB15" s="409"/>
      <c r="AC15" s="423" t="e">
        <f>AVERAGE('Cuadro Mando Integral Detallado'!Z297)</f>
        <v>#DIV/0!</v>
      </c>
      <c r="AD15" s="382" t="e">
        <f t="shared" ref="AD15" si="125">+AC15</f>
        <v>#DIV/0!</v>
      </c>
      <c r="AE15" s="373" t="e">
        <f t="shared" ref="AE15" si="126">+AC15</f>
        <v>#DIV/0!</v>
      </c>
      <c r="AF15" s="373" t="e">
        <f t="shared" ref="AF15" si="127">+AC15</f>
        <v>#DIV/0!</v>
      </c>
      <c r="AG15" s="373" t="e">
        <f t="shared" ref="AG15" si="128">+AC15</f>
        <v>#DIV/0!</v>
      </c>
      <c r="AH15" s="374" t="e">
        <f t="shared" ref="AH15" si="129">+AC15</f>
        <v>#DIV/0!</v>
      </c>
      <c r="AI15" s="423" t="e">
        <f>AVERAGE('Cuadro Mando Integral Detallado'!AC297)</f>
        <v>#DIV/0!</v>
      </c>
      <c r="AJ15" s="382" t="e">
        <f t="shared" ref="AJ15" si="130">+AI15</f>
        <v>#DIV/0!</v>
      </c>
      <c r="AK15" s="377" t="e">
        <f t="shared" ref="AK15" si="131">+AI15</f>
        <v>#DIV/0!</v>
      </c>
      <c r="AL15" s="377" t="e">
        <f t="shared" ref="AL15" si="132">+AI15</f>
        <v>#DIV/0!</v>
      </c>
      <c r="AM15" s="377" t="e">
        <f t="shared" ref="AM15" si="133">+AI15</f>
        <v>#DIV/0!</v>
      </c>
      <c r="AN15" s="378" t="e">
        <f t="shared" ref="AN15" si="134">+AI15</f>
        <v>#DIV/0!</v>
      </c>
      <c r="AO15" s="409"/>
      <c r="AP15" s="423">
        <f>AVERAGE('Cuadro Mando Integral Detallado'!AG297)</f>
        <v>1</v>
      </c>
      <c r="AQ15" s="382">
        <f>+AP15</f>
        <v>1</v>
      </c>
      <c r="AR15" s="373">
        <f>+AP15</f>
        <v>1</v>
      </c>
      <c r="AS15" s="373">
        <f>+AP15</f>
        <v>1</v>
      </c>
      <c r="AT15" s="373">
        <f>+AP15</f>
        <v>1</v>
      </c>
      <c r="AU15" s="374">
        <f>+AP15</f>
        <v>1</v>
      </c>
      <c r="AV15" s="423">
        <f>AVERAGE('Cuadro Mando Integral Detallado'!AI297)</f>
        <v>1</v>
      </c>
      <c r="AW15" s="382">
        <f>+AV15</f>
        <v>1</v>
      </c>
      <c r="AX15" s="377">
        <f>+AV15</f>
        <v>1</v>
      </c>
      <c r="AY15" s="377">
        <f>+AV15</f>
        <v>1</v>
      </c>
      <c r="AZ15" s="377">
        <f>+AV15</f>
        <v>1</v>
      </c>
      <c r="BA15" s="378">
        <f>+AV15</f>
        <v>1</v>
      </c>
    </row>
    <row r="16" spans="1:53" ht="36" x14ac:dyDescent="0.25">
      <c r="A16" s="424" t="s">
        <v>332</v>
      </c>
      <c r="B16" s="421"/>
      <c r="C16" s="423">
        <f>AVERAGE('Cuadro Mando Integral Detallado'!L197,'Cuadro Mando Integral Detallado'!L288:L295,'Cuadro Mando Integral Detallado'!L358:L359)</f>
        <v>1</v>
      </c>
      <c r="D16" s="382">
        <f t="shared" si="55"/>
        <v>1</v>
      </c>
      <c r="E16" s="373">
        <f t="shared" si="56"/>
        <v>1</v>
      </c>
      <c r="F16" s="373">
        <f t="shared" si="57"/>
        <v>1</v>
      </c>
      <c r="G16" s="373">
        <f t="shared" si="58"/>
        <v>1</v>
      </c>
      <c r="H16" s="374">
        <f t="shared" si="59"/>
        <v>1</v>
      </c>
      <c r="I16" s="423">
        <f>AVERAGE('Cuadro Mando Integral Detallado'!O197,'Cuadro Mando Integral Detallado'!O288:O295,'Cuadro Mando Integral Detallado'!O358:O359)</f>
        <v>0.61842105263157887</v>
      </c>
      <c r="J16" s="376">
        <f t="shared" si="60"/>
        <v>0.61842105263157887</v>
      </c>
      <c r="K16" s="377">
        <f t="shared" si="61"/>
        <v>0.61842105263157887</v>
      </c>
      <c r="L16" s="377">
        <f t="shared" si="62"/>
        <v>0.61842105263157887</v>
      </c>
      <c r="M16" s="377">
        <f t="shared" si="63"/>
        <v>0.61842105263157887</v>
      </c>
      <c r="N16" s="378">
        <f t="shared" si="64"/>
        <v>0.61842105263157887</v>
      </c>
      <c r="O16" s="11"/>
      <c r="P16" s="423">
        <f>AVERAGE('Cuadro Mando Integral Detallado'!S186,'Cuadro Mando Integral Detallado'!S195,'Cuadro Mando Integral Detallado'!S197,'Cuadro Mando Integral Detallado'!S285,'Cuadro Mando Integral Detallado'!S288:S295,'Cuadro Mando Integral Detallado'!S299:S300,'Cuadro Mando Integral Detallado'!S358:S359)</f>
        <v>0.8</v>
      </c>
      <c r="Q16" s="382">
        <f t="shared" si="120"/>
        <v>0.8</v>
      </c>
      <c r="R16" s="373">
        <f t="shared" si="121"/>
        <v>0.8</v>
      </c>
      <c r="S16" s="373">
        <f t="shared" si="122"/>
        <v>0.8</v>
      </c>
      <c r="T16" s="373">
        <f t="shared" si="123"/>
        <v>0.8</v>
      </c>
      <c r="U16" s="374">
        <f t="shared" si="124"/>
        <v>0.8</v>
      </c>
      <c r="V16" s="423">
        <f>AVERAGE('Cuadro Mando Integral Detallado'!V186,'Cuadro Mando Integral Detallado'!V195,'Cuadro Mando Integral Detallado'!V197,'Cuadro Mando Integral Detallado'!V285,'Cuadro Mando Integral Detallado'!V288:V295,'Cuadro Mando Integral Detallado'!V299:V300,'Cuadro Mando Integral Detallado'!V358:V359)</f>
        <v>0.62171052631578949</v>
      </c>
      <c r="W16" s="376">
        <f t="shared" si="65"/>
        <v>0.62171052631578949</v>
      </c>
      <c r="X16" s="377">
        <f t="shared" si="66"/>
        <v>0.62171052631578949</v>
      </c>
      <c r="Y16" s="377">
        <f t="shared" si="67"/>
        <v>0.62171052631578949</v>
      </c>
      <c r="Z16" s="377">
        <f t="shared" si="68"/>
        <v>0.62171052631578949</v>
      </c>
      <c r="AA16" s="378">
        <f t="shared" si="69"/>
        <v>0.62171052631578949</v>
      </c>
      <c r="AB16" s="409"/>
      <c r="AC16" s="423">
        <f>AVERAGE('Cuadro Mando Integral Detallado'!AZ87,'Cuadro Mando Integral Detallado'!Z195,'Cuadro Mando Integral Detallado'!Z197,'Cuadro Mando Integral Detallado'!Z285,'Cuadro Mando Integral Detallado'!Z288:Z295,'Cuadro Mando Integral Detallado'!Z299:Z300,'Cuadro Mando Integral Detallado'!Z358:Z359)</f>
        <v>1</v>
      </c>
      <c r="AD16" s="382">
        <f t="shared" ref="AD16" si="135">+AC16</f>
        <v>1</v>
      </c>
      <c r="AE16" s="373">
        <f t="shared" ref="AE16" si="136">+AC16</f>
        <v>1</v>
      </c>
      <c r="AF16" s="373">
        <f t="shared" ref="AF16" si="137">+AC16</f>
        <v>1</v>
      </c>
      <c r="AG16" s="373">
        <f t="shared" ref="AG16" si="138">+AC16</f>
        <v>1</v>
      </c>
      <c r="AH16" s="374">
        <f t="shared" ref="AH16" si="139">+AC16</f>
        <v>1</v>
      </c>
      <c r="AI16" s="423">
        <f>AVERAGE('Cuadro Mando Integral Detallado'!AC87,'Cuadro Mando Integral Detallado'!AC195,'Cuadro Mando Integral Detallado'!AC197,'Cuadro Mando Integral Detallado'!AC285,'Cuadro Mando Integral Detallado'!AC288:AC295,'Cuadro Mando Integral Detallado'!AC299:AC300,'Cuadro Mando Integral Detallado'!AC358:AC359)</f>
        <v>0.74780701754385959</v>
      </c>
      <c r="AJ16" s="382">
        <f t="shared" ref="AJ16" si="140">+AI16</f>
        <v>0.74780701754385959</v>
      </c>
      <c r="AK16" s="377">
        <f t="shared" ref="AK16" si="141">+AI16</f>
        <v>0.74780701754385959</v>
      </c>
      <c r="AL16" s="377">
        <f t="shared" ref="AL16" si="142">+AI16</f>
        <v>0.74780701754385959</v>
      </c>
      <c r="AM16" s="377">
        <f t="shared" ref="AM16" si="143">+AI16</f>
        <v>0.74780701754385959</v>
      </c>
      <c r="AN16" s="378">
        <f t="shared" ref="AN16" si="144">+AI16</f>
        <v>0.74780701754385959</v>
      </c>
      <c r="AO16" s="409"/>
      <c r="AP16" s="423">
        <f>AVERAGE('Cuadro Mando Integral Detallado'!AG288:AG295,'Cuadro Mando Integral Detallado'!AG358:AG359)</f>
        <v>1</v>
      </c>
      <c r="AQ16" s="382">
        <f>+AP16</f>
        <v>1</v>
      </c>
      <c r="AR16" s="373">
        <f>+AP16</f>
        <v>1</v>
      </c>
      <c r="AS16" s="373">
        <f>+AP16</f>
        <v>1</v>
      </c>
      <c r="AT16" s="373">
        <f>+AP16</f>
        <v>1</v>
      </c>
      <c r="AU16" s="374">
        <f>+AP16</f>
        <v>1</v>
      </c>
      <c r="AV16" s="423">
        <f>AVERAGE('Cuadro Mando Integral Detallado'!AI288:AI295,'Cuadro Mando Integral Detallado'!AI358:AI359)</f>
        <v>0.91666666666666663</v>
      </c>
      <c r="AW16" s="382">
        <f>+AV16</f>
        <v>0.91666666666666663</v>
      </c>
      <c r="AX16" s="377">
        <f>+AV16</f>
        <v>0.91666666666666663</v>
      </c>
      <c r="AY16" s="377">
        <f>+AV16</f>
        <v>0.91666666666666663</v>
      </c>
      <c r="AZ16" s="377">
        <f>+AV16</f>
        <v>0.91666666666666663</v>
      </c>
      <c r="BA16" s="378">
        <f>+AV16</f>
        <v>0.91666666666666663</v>
      </c>
    </row>
    <row r="17" spans="1:53" ht="54" x14ac:dyDescent="0.25">
      <c r="A17" s="424" t="s">
        <v>994</v>
      </c>
      <c r="B17" s="421"/>
      <c r="C17" s="423" t="e">
        <f>AVERAGE('Cuadro Mando Integral Detallado'!L299:L300)</f>
        <v>#DIV/0!</v>
      </c>
      <c r="D17" s="382" t="e">
        <f t="shared" si="55"/>
        <v>#DIV/0!</v>
      </c>
      <c r="E17" s="373" t="e">
        <f t="shared" si="56"/>
        <v>#DIV/0!</v>
      </c>
      <c r="F17" s="373" t="e">
        <f t="shared" si="57"/>
        <v>#DIV/0!</v>
      </c>
      <c r="G17" s="373" t="e">
        <f t="shared" si="58"/>
        <v>#DIV/0!</v>
      </c>
      <c r="H17" s="374" t="e">
        <f t="shared" si="59"/>
        <v>#DIV/0!</v>
      </c>
      <c r="I17" s="423" t="e">
        <f>AVERAGE('Cuadro Mando Integral Detallado'!O299:O300)</f>
        <v>#DIV/0!</v>
      </c>
      <c r="J17" s="376" t="e">
        <f t="shared" si="60"/>
        <v>#DIV/0!</v>
      </c>
      <c r="K17" s="377" t="e">
        <f t="shared" si="61"/>
        <v>#DIV/0!</v>
      </c>
      <c r="L17" s="377" t="e">
        <f t="shared" si="62"/>
        <v>#DIV/0!</v>
      </c>
      <c r="M17" s="377" t="e">
        <f t="shared" si="63"/>
        <v>#DIV/0!</v>
      </c>
      <c r="N17" s="378" t="e">
        <f t="shared" si="64"/>
        <v>#DIV/0!</v>
      </c>
      <c r="O17" s="11"/>
      <c r="P17" s="423">
        <f>AVERAGE('Cuadro Mando Integral Detallado'!S299:S300)</f>
        <v>0</v>
      </c>
      <c r="Q17" s="382">
        <f t="shared" si="120"/>
        <v>0</v>
      </c>
      <c r="R17" s="373">
        <f t="shared" si="121"/>
        <v>0</v>
      </c>
      <c r="S17" s="373">
        <f t="shared" si="122"/>
        <v>0</v>
      </c>
      <c r="T17" s="373">
        <f t="shared" si="123"/>
        <v>0</v>
      </c>
      <c r="U17" s="374">
        <f t="shared" si="124"/>
        <v>0</v>
      </c>
      <c r="V17" s="423">
        <f>AVERAGE('Cuadro Mando Integral Detallado'!V299:V300)</f>
        <v>0</v>
      </c>
      <c r="W17" s="376">
        <f t="shared" si="65"/>
        <v>0</v>
      </c>
      <c r="X17" s="377">
        <f t="shared" si="66"/>
        <v>0</v>
      </c>
      <c r="Y17" s="377">
        <f t="shared" si="67"/>
        <v>0</v>
      </c>
      <c r="Z17" s="377">
        <f t="shared" si="68"/>
        <v>0</v>
      </c>
      <c r="AA17" s="378">
        <f t="shared" si="69"/>
        <v>0</v>
      </c>
      <c r="AB17" s="409"/>
      <c r="AC17" s="423">
        <f>AVERAGE('Cuadro Mando Integral Detallado'!Z299:Z300)</f>
        <v>1</v>
      </c>
      <c r="AD17" s="382">
        <f t="shared" ref="AD17:AD18" si="145">+AC17</f>
        <v>1</v>
      </c>
      <c r="AE17" s="373">
        <f t="shared" ref="AE17:AE18" si="146">+AC17</f>
        <v>1</v>
      </c>
      <c r="AF17" s="373">
        <f t="shared" ref="AF17:AF18" si="147">+AC17</f>
        <v>1</v>
      </c>
      <c r="AG17" s="373">
        <f t="shared" ref="AG17:AG18" si="148">+AC17</f>
        <v>1</v>
      </c>
      <c r="AH17" s="374">
        <f t="shared" ref="AH17:AH18" si="149">+AC17</f>
        <v>1</v>
      </c>
      <c r="AI17" s="423">
        <f>AVERAGE('Cuadro Mando Integral Detallado'!AC299:AC300)</f>
        <v>1</v>
      </c>
      <c r="AJ17" s="382">
        <f t="shared" ref="AJ17:AJ18" si="150">+AI17</f>
        <v>1</v>
      </c>
      <c r="AK17" s="377">
        <f t="shared" ref="AK17:AK18" si="151">+AI17</f>
        <v>1</v>
      </c>
      <c r="AL17" s="377">
        <f t="shared" ref="AL17:AL18" si="152">+AI17</f>
        <v>1</v>
      </c>
      <c r="AM17" s="377">
        <f t="shared" ref="AM17:AM18" si="153">+AI17</f>
        <v>1</v>
      </c>
      <c r="AN17" s="378">
        <f t="shared" ref="AN17:AN18" si="154">+AI17</f>
        <v>1</v>
      </c>
      <c r="AO17" s="409"/>
      <c r="AP17" s="423">
        <f>AVERAGE('Cuadro Mando Integral Detallado'!AG299:AG300)</f>
        <v>1</v>
      </c>
      <c r="AQ17" s="382">
        <f t="shared" si="20"/>
        <v>1</v>
      </c>
      <c r="AR17" s="373">
        <f t="shared" si="21"/>
        <v>1</v>
      </c>
      <c r="AS17" s="373">
        <f t="shared" si="22"/>
        <v>1</v>
      </c>
      <c r="AT17" s="373">
        <f t="shared" si="23"/>
        <v>1</v>
      </c>
      <c r="AU17" s="374">
        <f t="shared" si="24"/>
        <v>1</v>
      </c>
      <c r="AV17" s="423">
        <f>AVERAGE('Cuadro Mando Integral Detallado'!AI299:AI300)</f>
        <v>1</v>
      </c>
      <c r="AW17" s="382">
        <f t="shared" si="39"/>
        <v>1</v>
      </c>
      <c r="AX17" s="377">
        <f t="shared" si="25"/>
        <v>1</v>
      </c>
      <c r="AY17" s="377">
        <f t="shared" si="26"/>
        <v>1</v>
      </c>
      <c r="AZ17" s="377">
        <f t="shared" si="27"/>
        <v>1</v>
      </c>
      <c r="BA17" s="378">
        <f t="shared" si="28"/>
        <v>1</v>
      </c>
    </row>
    <row r="18" spans="1:53" ht="18.75" thickBot="1" x14ac:dyDescent="0.3">
      <c r="A18" s="383" t="s">
        <v>989</v>
      </c>
      <c r="B18" s="425"/>
      <c r="C18" s="426">
        <f>AVERAGE('Cuadro Mando Integral Detallado'!L287)</f>
        <v>0.59493670886075944</v>
      </c>
      <c r="D18" s="395">
        <f>+C18</f>
        <v>0.59493670886075944</v>
      </c>
      <c r="E18" s="386">
        <f>+C18</f>
        <v>0.59493670886075944</v>
      </c>
      <c r="F18" s="386">
        <f>+C18</f>
        <v>0.59493670886075944</v>
      </c>
      <c r="G18" s="386">
        <f>+C18</f>
        <v>0.59493670886075944</v>
      </c>
      <c r="H18" s="387">
        <f>+C18</f>
        <v>0.59493670886075944</v>
      </c>
      <c r="I18" s="426">
        <f>AVERAGE('Cuadro Mando Integral Detallado'!O287)</f>
        <v>0.59493670886075944</v>
      </c>
      <c r="J18" s="389">
        <f>+I18</f>
        <v>0.59493670886075944</v>
      </c>
      <c r="K18" s="390">
        <f>+I18</f>
        <v>0.59493670886075944</v>
      </c>
      <c r="L18" s="390">
        <f>+I18</f>
        <v>0.59493670886075944</v>
      </c>
      <c r="M18" s="390">
        <f>+I18</f>
        <v>0.59493670886075944</v>
      </c>
      <c r="N18" s="391">
        <f>+I18</f>
        <v>0.59493670886075944</v>
      </c>
      <c r="O18" s="11"/>
      <c r="P18" s="426">
        <f>AVERAGE('Cuadro Mando Integral Detallado'!S286:S287)</f>
        <v>0.70186335403726707</v>
      </c>
      <c r="Q18" s="395">
        <f t="shared" si="0"/>
        <v>0.70186335403726707</v>
      </c>
      <c r="R18" s="386">
        <f t="shared" si="1"/>
        <v>0.70186335403726707</v>
      </c>
      <c r="S18" s="386">
        <f t="shared" si="2"/>
        <v>0.70186335403726707</v>
      </c>
      <c r="T18" s="386">
        <f t="shared" si="3"/>
        <v>0.70186335403726707</v>
      </c>
      <c r="U18" s="387">
        <f t="shared" si="4"/>
        <v>0.70186335403726707</v>
      </c>
      <c r="V18" s="426">
        <f>AVERAGE('Cuadro Mando Integral Detallado'!V286:V287)</f>
        <v>0.41444558010325755</v>
      </c>
      <c r="W18" s="389">
        <f t="shared" si="5"/>
        <v>0.41444558010325755</v>
      </c>
      <c r="X18" s="390">
        <f t="shared" si="6"/>
        <v>0.41444558010325755</v>
      </c>
      <c r="Y18" s="390">
        <f t="shared" si="7"/>
        <v>0.41444558010325755</v>
      </c>
      <c r="Z18" s="390">
        <f t="shared" si="8"/>
        <v>0.41444558010325755</v>
      </c>
      <c r="AA18" s="391">
        <f>+W18</f>
        <v>0.41444558010325755</v>
      </c>
      <c r="AB18" s="409"/>
      <c r="AC18" s="426">
        <f>AVERAGE('Cuadro Mando Integral Detallado'!Z286:Z287)</f>
        <v>0.83529411764705885</v>
      </c>
      <c r="AD18" s="395">
        <f t="shared" si="145"/>
        <v>0.83529411764705885</v>
      </c>
      <c r="AE18" s="386">
        <f t="shared" si="146"/>
        <v>0.83529411764705885</v>
      </c>
      <c r="AF18" s="386">
        <f t="shared" si="147"/>
        <v>0.83529411764705885</v>
      </c>
      <c r="AG18" s="386">
        <f t="shared" si="148"/>
        <v>0.83529411764705885</v>
      </c>
      <c r="AH18" s="387">
        <f t="shared" si="149"/>
        <v>0.83529411764705885</v>
      </c>
      <c r="AI18" s="426">
        <f>AVERAGE('Cuadro Mando Integral Detallado'!AC286:AC287)</f>
        <v>0.55366126637776736</v>
      </c>
      <c r="AJ18" s="395">
        <f t="shared" si="150"/>
        <v>0.55366126637776736</v>
      </c>
      <c r="AK18" s="390">
        <f t="shared" si="151"/>
        <v>0.55366126637776736</v>
      </c>
      <c r="AL18" s="390">
        <f t="shared" si="152"/>
        <v>0.55366126637776736</v>
      </c>
      <c r="AM18" s="390">
        <f t="shared" si="153"/>
        <v>0.55366126637776736</v>
      </c>
      <c r="AN18" s="391">
        <f t="shared" si="154"/>
        <v>0.55366126637776736</v>
      </c>
      <c r="AO18" s="409"/>
      <c r="AP18" s="426">
        <f>AVERAGE('Cuadro Mando Integral Detallado'!AG286:AG287)</f>
        <v>1</v>
      </c>
      <c r="AQ18" s="395">
        <f t="shared" si="20"/>
        <v>1</v>
      </c>
      <c r="AR18" s="386">
        <f t="shared" si="21"/>
        <v>1</v>
      </c>
      <c r="AS18" s="386">
        <f t="shared" si="22"/>
        <v>1</v>
      </c>
      <c r="AT18" s="386">
        <f t="shared" si="23"/>
        <v>1</v>
      </c>
      <c r="AU18" s="387">
        <f t="shared" si="24"/>
        <v>1</v>
      </c>
      <c r="AV18" s="426">
        <f>AVERAGE('Cuadro Mando Integral Detallado'!AI286:AI287)</f>
        <v>0.7203279330444341</v>
      </c>
      <c r="AW18" s="395">
        <f t="shared" si="39"/>
        <v>0.7203279330444341</v>
      </c>
      <c r="AX18" s="390">
        <f>+AV18</f>
        <v>0.7203279330444341</v>
      </c>
      <c r="AY18" s="390">
        <f t="shared" si="26"/>
        <v>0.7203279330444341</v>
      </c>
      <c r="AZ18" s="390">
        <f t="shared" si="27"/>
        <v>0.7203279330444341</v>
      </c>
      <c r="BA18" s="391">
        <f t="shared" si="28"/>
        <v>0.7203279330444341</v>
      </c>
    </row>
    <row r="19" spans="1:53" x14ac:dyDescent="0.25">
      <c r="A19" s="13"/>
    </row>
  </sheetData>
  <sheetProtection algorithmName="SHA-512" hashValue="KFtTJLRC3xrHc4WjfjLTgnidDjpsGZmcRNA3KPa3WLOf1bbOvJnP1Q2l64XIUJ2tG99IHHuYmIdUxW31GPjBag==" saltValue="01OFX8RHGShNCWIbC4F3yQ=="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330" priority="507" stopIfTrue="1" operator="between">
      <formula>0</formula>
      <formula>0.5</formula>
    </cfRule>
  </conditionalFormatting>
  <conditionalFormatting sqref="R6">
    <cfRule type="cellIs" dxfId="329" priority="506" operator="between">
      <formula>0.51</formula>
      <formula>0.75</formula>
    </cfRule>
  </conditionalFormatting>
  <conditionalFormatting sqref="S6">
    <cfRule type="cellIs" dxfId="328" priority="505" operator="between">
      <formula>0.76</formula>
      <formula>0.95</formula>
    </cfRule>
  </conditionalFormatting>
  <conditionalFormatting sqref="T6">
    <cfRule type="cellIs" dxfId="327" priority="504" operator="between">
      <formula>0.95</formula>
      <formula>1</formula>
    </cfRule>
  </conditionalFormatting>
  <conditionalFormatting sqref="U6">
    <cfRule type="cellIs" dxfId="326" priority="503" operator="greaterThan">
      <formula>1</formula>
    </cfRule>
  </conditionalFormatting>
  <conditionalFormatting sqref="Q7">
    <cfRule type="cellIs" dxfId="325" priority="502" stopIfTrue="1" operator="between">
      <formula>0</formula>
      <formula>0.5</formula>
    </cfRule>
  </conditionalFormatting>
  <conditionalFormatting sqref="R7">
    <cfRule type="cellIs" dxfId="324" priority="501" operator="between">
      <formula>0.51</formula>
      <formula>0.75</formula>
    </cfRule>
  </conditionalFormatting>
  <conditionalFormatting sqref="S7">
    <cfRule type="cellIs" dxfId="323" priority="500" operator="between">
      <formula>0.76</formula>
      <formula>0.95</formula>
    </cfRule>
  </conditionalFormatting>
  <conditionalFormatting sqref="T7">
    <cfRule type="cellIs" dxfId="322" priority="499" operator="between">
      <formula>0.95</formula>
      <formula>1</formula>
    </cfRule>
  </conditionalFormatting>
  <conditionalFormatting sqref="U7">
    <cfRule type="cellIs" dxfId="321" priority="498" operator="greaterThan">
      <formula>1</formula>
    </cfRule>
  </conditionalFormatting>
  <conditionalFormatting sqref="Q8">
    <cfRule type="cellIs" dxfId="320" priority="497" stopIfTrue="1" operator="between">
      <formula>0</formula>
      <formula>0.5</formula>
    </cfRule>
  </conditionalFormatting>
  <conditionalFormatting sqref="R8">
    <cfRule type="cellIs" dxfId="319" priority="496" operator="between">
      <formula>0.51</formula>
      <formula>0.75</formula>
    </cfRule>
  </conditionalFormatting>
  <conditionalFormatting sqref="S8">
    <cfRule type="cellIs" dxfId="318" priority="495" operator="between">
      <formula>0.76</formula>
      <formula>0.95</formula>
    </cfRule>
  </conditionalFormatting>
  <conditionalFormatting sqref="T8">
    <cfRule type="cellIs" dxfId="317" priority="494" operator="between">
      <formula>0.95</formula>
      <formula>1</formula>
    </cfRule>
  </conditionalFormatting>
  <conditionalFormatting sqref="U8">
    <cfRule type="cellIs" dxfId="316" priority="493" operator="greaterThan">
      <formula>1</formula>
    </cfRule>
  </conditionalFormatting>
  <conditionalFormatting sqref="Q9:Q10">
    <cfRule type="cellIs" dxfId="315" priority="492" stopIfTrue="1" operator="between">
      <formula>0</formula>
      <formula>0.5</formula>
    </cfRule>
  </conditionalFormatting>
  <conditionalFormatting sqref="R9:R10">
    <cfRule type="cellIs" dxfId="314" priority="491" operator="between">
      <formula>0.51</formula>
      <formula>0.75</formula>
    </cfRule>
  </conditionalFormatting>
  <conditionalFormatting sqref="S9:S10">
    <cfRule type="cellIs" dxfId="313" priority="490" operator="between">
      <formula>0.76</formula>
      <formula>0.95</formula>
    </cfRule>
  </conditionalFormatting>
  <conditionalFormatting sqref="T9:T10">
    <cfRule type="cellIs" dxfId="312" priority="489" operator="between">
      <formula>0.95</formula>
      <formula>1</formula>
    </cfRule>
  </conditionalFormatting>
  <conditionalFormatting sqref="U9:U10">
    <cfRule type="cellIs" dxfId="311" priority="488" operator="greaterThan">
      <formula>1</formula>
    </cfRule>
  </conditionalFormatting>
  <conditionalFormatting sqref="Q11">
    <cfRule type="cellIs" dxfId="310" priority="487" stopIfTrue="1" operator="between">
      <formula>0</formula>
      <formula>0.5</formula>
    </cfRule>
  </conditionalFormatting>
  <conditionalFormatting sqref="R11">
    <cfRule type="cellIs" dxfId="309" priority="486" operator="between">
      <formula>0.51</formula>
      <formula>0.75</formula>
    </cfRule>
  </conditionalFormatting>
  <conditionalFormatting sqref="S11">
    <cfRule type="cellIs" dxfId="308" priority="485" operator="between">
      <formula>0.76</formula>
      <formula>0.95</formula>
    </cfRule>
  </conditionalFormatting>
  <conditionalFormatting sqref="T11">
    <cfRule type="cellIs" dxfId="307" priority="484" operator="between">
      <formula>0.95</formula>
      <formula>1</formula>
    </cfRule>
  </conditionalFormatting>
  <conditionalFormatting sqref="U11">
    <cfRule type="cellIs" dxfId="306" priority="483" operator="greaterThan">
      <formula>1</formula>
    </cfRule>
  </conditionalFormatting>
  <conditionalFormatting sqref="Q12">
    <cfRule type="cellIs" dxfId="305" priority="482" stopIfTrue="1" operator="between">
      <formula>0</formula>
      <formula>0.5</formula>
    </cfRule>
  </conditionalFormatting>
  <conditionalFormatting sqref="R12">
    <cfRule type="cellIs" dxfId="304" priority="481" operator="between">
      <formula>0.51</formula>
      <formula>0.75</formula>
    </cfRule>
  </conditionalFormatting>
  <conditionalFormatting sqref="S12">
    <cfRule type="cellIs" dxfId="303" priority="480" operator="between">
      <formula>0.76</formula>
      <formula>0.95</formula>
    </cfRule>
  </conditionalFormatting>
  <conditionalFormatting sqref="T12">
    <cfRule type="cellIs" dxfId="302" priority="479" operator="between">
      <formula>0.95</formula>
      <formula>1</formula>
    </cfRule>
  </conditionalFormatting>
  <conditionalFormatting sqref="U12">
    <cfRule type="cellIs" dxfId="301" priority="478" operator="greaterThan">
      <formula>1</formula>
    </cfRule>
  </conditionalFormatting>
  <conditionalFormatting sqref="Q13">
    <cfRule type="cellIs" dxfId="300" priority="477" stopIfTrue="1" operator="between">
      <formula>0</formula>
      <formula>0.5</formula>
    </cfRule>
  </conditionalFormatting>
  <conditionalFormatting sqref="R13">
    <cfRule type="cellIs" dxfId="299" priority="476" operator="between">
      <formula>0.51</formula>
      <formula>0.75</formula>
    </cfRule>
  </conditionalFormatting>
  <conditionalFormatting sqref="S13">
    <cfRule type="cellIs" dxfId="298" priority="475" operator="between">
      <formula>0.76</formula>
      <formula>0.95</formula>
    </cfRule>
  </conditionalFormatting>
  <conditionalFormatting sqref="T13">
    <cfRule type="cellIs" dxfId="297" priority="474" operator="between">
      <formula>0.95</formula>
      <formula>1</formula>
    </cfRule>
  </conditionalFormatting>
  <conditionalFormatting sqref="U13">
    <cfRule type="cellIs" dxfId="296" priority="473" operator="greaterThan">
      <formula>1</formula>
    </cfRule>
  </conditionalFormatting>
  <conditionalFormatting sqref="Q18">
    <cfRule type="cellIs" dxfId="295" priority="467" stopIfTrue="1" operator="between">
      <formula>0</formula>
      <formula>0.5</formula>
    </cfRule>
  </conditionalFormatting>
  <conditionalFormatting sqref="R18">
    <cfRule type="cellIs" dxfId="294" priority="466" operator="between">
      <formula>0.51</formula>
      <formula>0.75</formula>
    </cfRule>
  </conditionalFormatting>
  <conditionalFormatting sqref="S18">
    <cfRule type="cellIs" dxfId="293" priority="465" operator="between">
      <formula>0.76</formula>
      <formula>0.95</formula>
    </cfRule>
  </conditionalFormatting>
  <conditionalFormatting sqref="T18">
    <cfRule type="cellIs" dxfId="292" priority="464" operator="between">
      <formula>0.95</formula>
      <formula>1</formula>
    </cfRule>
  </conditionalFormatting>
  <conditionalFormatting sqref="U18">
    <cfRule type="cellIs" dxfId="291" priority="463" operator="greaterThan">
      <formula>1</formula>
    </cfRule>
  </conditionalFormatting>
  <conditionalFormatting sqref="W7">
    <cfRule type="cellIs" dxfId="290" priority="462" stopIfTrue="1" operator="between">
      <formula>0</formula>
      <formula>0.255</formula>
    </cfRule>
  </conditionalFormatting>
  <conditionalFormatting sqref="X7">
    <cfRule type="cellIs" dxfId="289" priority="461" operator="between">
      <formula>0.2551</formula>
      <formula>0.375</formula>
    </cfRule>
  </conditionalFormatting>
  <conditionalFormatting sqref="Y7">
    <cfRule type="cellIs" dxfId="288" priority="460" operator="between">
      <formula>0.3751</formula>
      <formula>0.475</formula>
    </cfRule>
  </conditionalFormatting>
  <conditionalFormatting sqref="Z7">
    <cfRule type="cellIs" dxfId="287" priority="459" operator="between">
      <formula>0.48</formula>
      <formula>0.51</formula>
    </cfRule>
  </conditionalFormatting>
  <conditionalFormatting sqref="AA7">
    <cfRule type="cellIs" dxfId="286" priority="458" operator="greaterThan">
      <formula>0.505</formula>
    </cfRule>
  </conditionalFormatting>
  <conditionalFormatting sqref="W9">
    <cfRule type="cellIs" dxfId="285" priority="457" stopIfTrue="1" operator="between">
      <formula>0</formula>
      <formula>0.255</formula>
    </cfRule>
  </conditionalFormatting>
  <conditionalFormatting sqref="X9">
    <cfRule type="cellIs" dxfId="284" priority="456" operator="between">
      <formula>0.2551</formula>
      <formula>0.375</formula>
    </cfRule>
  </conditionalFormatting>
  <conditionalFormatting sqref="Y9">
    <cfRule type="cellIs" dxfId="283" priority="455" operator="between">
      <formula>0.38</formula>
      <formula>0.475</formula>
    </cfRule>
  </conditionalFormatting>
  <conditionalFormatting sqref="Z9">
    <cfRule type="cellIs" dxfId="282" priority="454" operator="between">
      <formula>0.48</formula>
      <formula>0.51</formula>
    </cfRule>
  </conditionalFormatting>
  <conditionalFormatting sqref="AA9">
    <cfRule type="cellIs" dxfId="281" priority="453" operator="greaterThan">
      <formula>0.505</formula>
    </cfRule>
  </conditionalFormatting>
  <conditionalFormatting sqref="W18">
    <cfRule type="cellIs" dxfId="280" priority="432" stopIfTrue="1" operator="between">
      <formula>0</formula>
      <formula>0.255</formula>
    </cfRule>
  </conditionalFormatting>
  <conditionalFormatting sqref="X18">
    <cfRule type="cellIs" dxfId="279" priority="431" operator="between">
      <formula>0.2551</formula>
      <formula>0.375</formula>
    </cfRule>
  </conditionalFormatting>
  <conditionalFormatting sqref="Y18">
    <cfRule type="cellIs" dxfId="278" priority="430" operator="between">
      <formula>0.38</formula>
      <formula>0.475</formula>
    </cfRule>
  </conditionalFormatting>
  <conditionalFormatting sqref="Z18">
    <cfRule type="cellIs" dxfId="277" priority="429" operator="between">
      <formula>0.48</formula>
      <formula>0.51</formula>
    </cfRule>
  </conditionalFormatting>
  <conditionalFormatting sqref="AA18">
    <cfRule type="cellIs" dxfId="276" priority="428" operator="greaterThan">
      <formula>0.505</formula>
    </cfRule>
  </conditionalFormatting>
  <conditionalFormatting sqref="AD17">
    <cfRule type="cellIs" dxfId="275" priority="392" stopIfTrue="1" operator="between">
      <formula>0</formula>
      <formula>0.5</formula>
    </cfRule>
  </conditionalFormatting>
  <conditionalFormatting sqref="AE17">
    <cfRule type="cellIs" dxfId="274" priority="391" operator="between">
      <formula>0.51</formula>
      <formula>0.75</formula>
    </cfRule>
  </conditionalFormatting>
  <conditionalFormatting sqref="AF17">
    <cfRule type="cellIs" dxfId="273" priority="390" operator="between">
      <formula>0.76</formula>
      <formula>0.95</formula>
    </cfRule>
  </conditionalFormatting>
  <conditionalFormatting sqref="AG17">
    <cfRule type="cellIs" dxfId="272" priority="389" operator="between">
      <formula>0.95</formula>
      <formula>1</formula>
    </cfRule>
  </conditionalFormatting>
  <conditionalFormatting sqref="AH17">
    <cfRule type="cellIs" dxfId="271" priority="388" operator="greaterThan">
      <formula>1</formula>
    </cfRule>
  </conditionalFormatting>
  <conditionalFormatting sqref="AD18">
    <cfRule type="cellIs" dxfId="270" priority="387" stopIfTrue="1" operator="between">
      <formula>0</formula>
      <formula>0.5</formula>
    </cfRule>
  </conditionalFormatting>
  <conditionalFormatting sqref="AE18">
    <cfRule type="cellIs" dxfId="269" priority="386" operator="between">
      <formula>0.51</formula>
      <formula>0.75</formula>
    </cfRule>
  </conditionalFormatting>
  <conditionalFormatting sqref="AF18">
    <cfRule type="cellIs" dxfId="268" priority="385" operator="between">
      <formula>0.76</formula>
      <formula>0.95</formula>
    </cfRule>
  </conditionalFormatting>
  <conditionalFormatting sqref="AG18">
    <cfRule type="cellIs" dxfId="267" priority="384" operator="between">
      <formula>0.95</formula>
      <formula>1</formula>
    </cfRule>
  </conditionalFormatting>
  <conditionalFormatting sqref="AH18">
    <cfRule type="cellIs" dxfId="266" priority="383" operator="greaterThan">
      <formula>1</formula>
    </cfRule>
  </conditionalFormatting>
  <conditionalFormatting sqref="AJ17">
    <cfRule type="cellIs" dxfId="265" priority="347" stopIfTrue="1" operator="between">
      <formula>0</formula>
      <formula>0.375</formula>
    </cfRule>
  </conditionalFormatting>
  <conditionalFormatting sqref="AK17">
    <cfRule type="cellIs" dxfId="264" priority="346" operator="between">
      <formula>0.3751</formula>
      <formula>0.5625</formula>
    </cfRule>
  </conditionalFormatting>
  <conditionalFormatting sqref="AL17">
    <cfRule type="cellIs" dxfId="263" priority="345" operator="between">
      <formula>0.563</formula>
      <formula>0.7125</formula>
    </cfRule>
  </conditionalFormatting>
  <conditionalFormatting sqref="AM17">
    <cfRule type="cellIs" dxfId="262" priority="344" operator="between">
      <formula>0.713</formula>
      <formula>0.75</formula>
    </cfRule>
  </conditionalFormatting>
  <conditionalFormatting sqref="AN17">
    <cfRule type="cellIs" dxfId="261" priority="343" operator="greaterThan">
      <formula>0.755</formula>
    </cfRule>
  </conditionalFormatting>
  <conditionalFormatting sqref="AJ18">
    <cfRule type="cellIs" dxfId="260" priority="342" stopIfTrue="1" operator="between">
      <formula>0</formula>
      <formula>0.375</formula>
    </cfRule>
  </conditionalFormatting>
  <conditionalFormatting sqref="AK18">
    <cfRule type="cellIs" dxfId="259" priority="341" operator="between">
      <formula>0.3751</formula>
      <formula>0.5625</formula>
    </cfRule>
  </conditionalFormatting>
  <conditionalFormatting sqref="AL18">
    <cfRule type="cellIs" dxfId="258" priority="340" operator="between">
      <formula>0.563</formula>
      <formula>0.7125</formula>
    </cfRule>
  </conditionalFormatting>
  <conditionalFormatting sqref="AM18">
    <cfRule type="cellIs" dxfId="257" priority="339" operator="between">
      <formula>0.713</formula>
      <formula>0.75</formula>
    </cfRule>
  </conditionalFormatting>
  <conditionalFormatting sqref="AN18">
    <cfRule type="cellIs" dxfId="256" priority="338" operator="greaterThan">
      <formula>0.755</formula>
    </cfRule>
  </conditionalFormatting>
  <conditionalFormatting sqref="AQ6">
    <cfRule type="cellIs" dxfId="255" priority="337" stopIfTrue="1" operator="between">
      <formula>0</formula>
      <formula>0.5</formula>
    </cfRule>
  </conditionalFormatting>
  <conditionalFormatting sqref="AR6">
    <cfRule type="cellIs" dxfId="254" priority="336" operator="between">
      <formula>0.51</formula>
      <formula>0.75</formula>
    </cfRule>
  </conditionalFormatting>
  <conditionalFormatting sqref="AS6">
    <cfRule type="cellIs" dxfId="253" priority="335" operator="between">
      <formula>0.76</formula>
      <formula>0.95</formula>
    </cfRule>
  </conditionalFormatting>
  <conditionalFormatting sqref="AT6">
    <cfRule type="cellIs" dxfId="252" priority="334" operator="between">
      <formula>0.95</formula>
      <formula>1</formula>
    </cfRule>
  </conditionalFormatting>
  <conditionalFormatting sqref="AU6">
    <cfRule type="cellIs" dxfId="251" priority="333" operator="greaterThan">
      <formula>1</formula>
    </cfRule>
  </conditionalFormatting>
  <conditionalFormatting sqref="AQ7">
    <cfRule type="cellIs" dxfId="250" priority="332" stopIfTrue="1" operator="between">
      <formula>0</formula>
      <formula>0.5</formula>
    </cfRule>
  </conditionalFormatting>
  <conditionalFormatting sqref="AR7">
    <cfRule type="cellIs" dxfId="249" priority="331" operator="between">
      <formula>0.51</formula>
      <formula>0.75</formula>
    </cfRule>
  </conditionalFormatting>
  <conditionalFormatting sqref="AS7">
    <cfRule type="cellIs" dxfId="248" priority="330" operator="between">
      <formula>0.76</formula>
      <formula>0.95</formula>
    </cfRule>
  </conditionalFormatting>
  <conditionalFormatting sqref="AT7">
    <cfRule type="cellIs" dxfId="247" priority="329" operator="between">
      <formula>0.95</formula>
      <formula>1</formula>
    </cfRule>
  </conditionalFormatting>
  <conditionalFormatting sqref="AU7">
    <cfRule type="cellIs" dxfId="246" priority="328" operator="greaterThan">
      <formula>1</formula>
    </cfRule>
  </conditionalFormatting>
  <conditionalFormatting sqref="AQ8">
    <cfRule type="cellIs" dxfId="245" priority="327" stopIfTrue="1" operator="between">
      <formula>0</formula>
      <formula>0.5</formula>
    </cfRule>
  </conditionalFormatting>
  <conditionalFormatting sqref="AR8">
    <cfRule type="cellIs" dxfId="244" priority="326" operator="between">
      <formula>0.51</formula>
      <formula>0.75</formula>
    </cfRule>
  </conditionalFormatting>
  <conditionalFormatting sqref="AS8">
    <cfRule type="cellIs" dxfId="243" priority="325" operator="between">
      <formula>0.76</formula>
      <formula>0.95</formula>
    </cfRule>
  </conditionalFormatting>
  <conditionalFormatting sqref="AT8">
    <cfRule type="cellIs" dxfId="242" priority="324" operator="between">
      <formula>0.95</formula>
      <formula>1</formula>
    </cfRule>
  </conditionalFormatting>
  <conditionalFormatting sqref="AU8">
    <cfRule type="cellIs" dxfId="241" priority="323" operator="greaterThan">
      <formula>1</formula>
    </cfRule>
  </conditionalFormatting>
  <conditionalFormatting sqref="AQ9:AQ10">
    <cfRule type="cellIs" dxfId="240" priority="322" stopIfTrue="1" operator="between">
      <formula>0</formula>
      <formula>0.5</formula>
    </cfRule>
  </conditionalFormatting>
  <conditionalFormatting sqref="AR9:AR10">
    <cfRule type="cellIs" dxfId="239" priority="321" operator="between">
      <formula>0.51</formula>
      <formula>0.75</formula>
    </cfRule>
  </conditionalFormatting>
  <conditionalFormatting sqref="AS9:AS10">
    <cfRule type="cellIs" dxfId="238" priority="320" operator="between">
      <formula>0.76</formula>
      <formula>0.95</formula>
    </cfRule>
  </conditionalFormatting>
  <conditionalFormatting sqref="AT9:AT10">
    <cfRule type="cellIs" dxfId="237" priority="319" operator="between">
      <formula>0.95</formula>
      <formula>1</formula>
    </cfRule>
  </conditionalFormatting>
  <conditionalFormatting sqref="AU9:AU10">
    <cfRule type="cellIs" dxfId="236" priority="318" operator="greaterThan">
      <formula>1</formula>
    </cfRule>
  </conditionalFormatting>
  <conditionalFormatting sqref="AQ11">
    <cfRule type="cellIs" dxfId="235" priority="317" stopIfTrue="1" operator="between">
      <formula>0</formula>
      <formula>0.5</formula>
    </cfRule>
  </conditionalFormatting>
  <conditionalFormatting sqref="AR11">
    <cfRule type="cellIs" dxfId="234" priority="316" operator="between">
      <formula>0.51</formula>
      <formula>0.75</formula>
    </cfRule>
  </conditionalFormatting>
  <conditionalFormatting sqref="AS11">
    <cfRule type="cellIs" dxfId="233" priority="315" operator="between">
      <formula>0.76</formula>
      <formula>0.95</formula>
    </cfRule>
  </conditionalFormatting>
  <conditionalFormatting sqref="AT11">
    <cfRule type="cellIs" dxfId="232" priority="314" operator="between">
      <formula>0.95</formula>
      <formula>1</formula>
    </cfRule>
  </conditionalFormatting>
  <conditionalFormatting sqref="AU11">
    <cfRule type="cellIs" dxfId="231" priority="313" operator="greaterThan">
      <formula>1</formula>
    </cfRule>
  </conditionalFormatting>
  <conditionalFormatting sqref="AQ12">
    <cfRule type="cellIs" dxfId="230" priority="312" stopIfTrue="1" operator="between">
      <formula>0</formula>
      <formula>0.5</formula>
    </cfRule>
  </conditionalFormatting>
  <conditionalFormatting sqref="AR12">
    <cfRule type="cellIs" dxfId="229" priority="311" operator="between">
      <formula>0.51</formula>
      <formula>0.75</formula>
    </cfRule>
  </conditionalFormatting>
  <conditionalFormatting sqref="AS12">
    <cfRule type="cellIs" dxfId="228" priority="310" operator="between">
      <formula>0.76</formula>
      <formula>0.95</formula>
    </cfRule>
  </conditionalFormatting>
  <conditionalFormatting sqref="AT12">
    <cfRule type="cellIs" dxfId="227" priority="309" operator="between">
      <formula>0.95</formula>
      <formula>1</formula>
    </cfRule>
  </conditionalFormatting>
  <conditionalFormatting sqref="AU12">
    <cfRule type="cellIs" dxfId="226" priority="308" operator="greaterThan">
      <formula>1</formula>
    </cfRule>
  </conditionalFormatting>
  <conditionalFormatting sqref="AQ13:AQ16">
    <cfRule type="cellIs" dxfId="225" priority="307" stopIfTrue="1" operator="between">
      <formula>0</formula>
      <formula>0.5</formula>
    </cfRule>
  </conditionalFormatting>
  <conditionalFormatting sqref="AR13:AR16">
    <cfRule type="cellIs" dxfId="224" priority="306" operator="between">
      <formula>0.51</formula>
      <formula>0.75</formula>
    </cfRule>
  </conditionalFormatting>
  <conditionalFormatting sqref="AS13:AS16">
    <cfRule type="cellIs" dxfId="223" priority="305" operator="between">
      <formula>0.76</formula>
      <formula>0.95</formula>
    </cfRule>
  </conditionalFormatting>
  <conditionalFormatting sqref="AT13:AT16">
    <cfRule type="cellIs" dxfId="222" priority="304" operator="between">
      <formula>0.95</formula>
      <formula>1</formula>
    </cfRule>
  </conditionalFormatting>
  <conditionalFormatting sqref="AU13:AU16">
    <cfRule type="cellIs" dxfId="221" priority="303" operator="greaterThan">
      <formula>1</formula>
    </cfRule>
  </conditionalFormatting>
  <conditionalFormatting sqref="AQ17">
    <cfRule type="cellIs" dxfId="220" priority="302" stopIfTrue="1" operator="between">
      <formula>0</formula>
      <formula>0.5</formula>
    </cfRule>
  </conditionalFormatting>
  <conditionalFormatting sqref="AR17">
    <cfRule type="cellIs" dxfId="219" priority="301" operator="between">
      <formula>0.51</formula>
      <formula>0.75</formula>
    </cfRule>
  </conditionalFormatting>
  <conditionalFormatting sqref="AS17">
    <cfRule type="cellIs" dxfId="218" priority="300" operator="between">
      <formula>0.76</formula>
      <formula>0.95</formula>
    </cfRule>
  </conditionalFormatting>
  <conditionalFormatting sqref="AT17">
    <cfRule type="cellIs" dxfId="217" priority="299" operator="between">
      <formula>0.95</formula>
      <formula>1</formula>
    </cfRule>
  </conditionalFormatting>
  <conditionalFormatting sqref="AU17">
    <cfRule type="cellIs" dxfId="216" priority="298" operator="greaterThan">
      <formula>1</formula>
    </cfRule>
  </conditionalFormatting>
  <conditionalFormatting sqref="AQ18">
    <cfRule type="cellIs" dxfId="215" priority="297" stopIfTrue="1" operator="between">
      <formula>0</formula>
      <formula>0.5</formula>
    </cfRule>
  </conditionalFormatting>
  <conditionalFormatting sqref="AR18">
    <cfRule type="cellIs" dxfId="214" priority="296" operator="between">
      <formula>0.51</formula>
      <formula>0.75</formula>
    </cfRule>
  </conditionalFormatting>
  <conditionalFormatting sqref="AS18">
    <cfRule type="cellIs" dxfId="213" priority="295" operator="between">
      <formula>0.76</formula>
      <formula>0.95</formula>
    </cfRule>
  </conditionalFormatting>
  <conditionalFormatting sqref="AT18">
    <cfRule type="cellIs" dxfId="212" priority="294" operator="between">
      <formula>0.95</formula>
      <formula>1</formula>
    </cfRule>
  </conditionalFormatting>
  <conditionalFormatting sqref="AU18">
    <cfRule type="cellIs" dxfId="211" priority="293" operator="greaterThan">
      <formula>1</formula>
    </cfRule>
  </conditionalFormatting>
  <conditionalFormatting sqref="AX6">
    <cfRule type="cellIs" dxfId="210" priority="292" operator="between">
      <formula>0.501</formula>
      <formula>0.75</formula>
    </cfRule>
  </conditionalFormatting>
  <conditionalFormatting sqref="AY6">
    <cfRule type="cellIs" dxfId="209" priority="291" operator="between">
      <formula>0.76</formula>
      <formula>0.95</formula>
    </cfRule>
  </conditionalFormatting>
  <conditionalFormatting sqref="AZ6">
    <cfRule type="cellIs" dxfId="208" priority="290" operator="between">
      <formula>0.95</formula>
      <formula>1</formula>
    </cfRule>
  </conditionalFormatting>
  <conditionalFormatting sqref="BA6">
    <cfRule type="cellIs" dxfId="207" priority="289" operator="greaterThan">
      <formula>1</formula>
    </cfRule>
  </conditionalFormatting>
  <conditionalFormatting sqref="AW6">
    <cfRule type="cellIs" dxfId="206" priority="288" stopIfTrue="1" operator="between">
      <formula>0</formula>
      <formula>0.5</formula>
    </cfRule>
  </conditionalFormatting>
  <conditionalFormatting sqref="AX7">
    <cfRule type="cellIs" dxfId="205" priority="287" operator="between">
      <formula>0.501</formula>
      <formula>0.75</formula>
    </cfRule>
  </conditionalFormatting>
  <conditionalFormatting sqref="AY7">
    <cfRule type="cellIs" dxfId="204" priority="286" operator="between">
      <formula>0.76</formula>
      <formula>0.95</formula>
    </cfRule>
  </conditionalFormatting>
  <conditionalFormatting sqref="AZ7">
    <cfRule type="cellIs" dxfId="203" priority="285" operator="between">
      <formula>0.95</formula>
      <formula>1</formula>
    </cfRule>
  </conditionalFormatting>
  <conditionalFormatting sqref="BA7">
    <cfRule type="cellIs" dxfId="202" priority="284" operator="greaterThan">
      <formula>1</formula>
    </cfRule>
  </conditionalFormatting>
  <conditionalFormatting sqref="AW7">
    <cfRule type="cellIs" dxfId="201" priority="283" stopIfTrue="1" operator="between">
      <formula>0</formula>
      <formula>0.5</formula>
    </cfRule>
  </conditionalFormatting>
  <conditionalFormatting sqref="AX8">
    <cfRule type="cellIs" dxfId="200" priority="282" operator="between">
      <formula>0.501</formula>
      <formula>0.75</formula>
    </cfRule>
  </conditionalFormatting>
  <conditionalFormatting sqref="AY8">
    <cfRule type="cellIs" dxfId="199" priority="281" operator="between">
      <formula>0.76</formula>
      <formula>0.95</formula>
    </cfRule>
  </conditionalFormatting>
  <conditionalFormatting sqref="AZ8">
    <cfRule type="cellIs" dxfId="198" priority="280" operator="between">
      <formula>0.95</formula>
      <formula>1</formula>
    </cfRule>
  </conditionalFormatting>
  <conditionalFormatting sqref="BA8">
    <cfRule type="cellIs" dxfId="197" priority="279" operator="greaterThan">
      <formula>1</formula>
    </cfRule>
  </conditionalFormatting>
  <conditionalFormatting sqref="AW8">
    <cfRule type="cellIs" dxfId="196" priority="278" stopIfTrue="1" operator="between">
      <formula>0</formula>
      <formula>0.5</formula>
    </cfRule>
  </conditionalFormatting>
  <conditionalFormatting sqref="AX9:AX10">
    <cfRule type="cellIs" dxfId="195" priority="277" operator="between">
      <formula>0.501</formula>
      <formula>0.75</formula>
    </cfRule>
  </conditionalFormatting>
  <conditionalFormatting sqref="AY9:AY10">
    <cfRule type="cellIs" dxfId="194" priority="276" operator="between">
      <formula>0.76</formula>
      <formula>0.95</formula>
    </cfRule>
  </conditionalFormatting>
  <conditionalFormatting sqref="AZ9:AZ10">
    <cfRule type="cellIs" dxfId="193" priority="275" operator="between">
      <formula>0.95</formula>
      <formula>1</formula>
    </cfRule>
  </conditionalFormatting>
  <conditionalFormatting sqref="BA9:BA10">
    <cfRule type="cellIs" dxfId="192" priority="274" operator="greaterThan">
      <formula>1</formula>
    </cfRule>
  </conditionalFormatting>
  <conditionalFormatting sqref="AW9:AW10">
    <cfRule type="cellIs" dxfId="191" priority="273" stopIfTrue="1" operator="between">
      <formula>0</formula>
      <formula>0.5</formula>
    </cfRule>
  </conditionalFormatting>
  <conditionalFormatting sqref="AX11">
    <cfRule type="cellIs" dxfId="190" priority="272" operator="between">
      <formula>0.501</formula>
      <formula>0.75</formula>
    </cfRule>
  </conditionalFormatting>
  <conditionalFormatting sqref="AY11">
    <cfRule type="cellIs" dxfId="189" priority="271" operator="between">
      <formula>0.76</formula>
      <formula>0.95</formula>
    </cfRule>
  </conditionalFormatting>
  <conditionalFormatting sqref="AZ11">
    <cfRule type="cellIs" dxfId="188" priority="270" operator="between">
      <formula>0.95</formula>
      <formula>1</formula>
    </cfRule>
  </conditionalFormatting>
  <conditionalFormatting sqref="BA11">
    <cfRule type="cellIs" dxfId="187" priority="269" operator="greaterThan">
      <formula>1</formula>
    </cfRule>
  </conditionalFormatting>
  <conditionalFormatting sqref="AW11">
    <cfRule type="cellIs" dxfId="186" priority="268" stopIfTrue="1" operator="between">
      <formula>0</formula>
      <formula>0.5</formula>
    </cfRule>
  </conditionalFormatting>
  <conditionalFormatting sqref="AX12">
    <cfRule type="cellIs" dxfId="185" priority="267" operator="between">
      <formula>0.501</formula>
      <formula>0.75</formula>
    </cfRule>
  </conditionalFormatting>
  <conditionalFormatting sqref="AY12">
    <cfRule type="cellIs" dxfId="184" priority="266" operator="between">
      <formula>0.76</formula>
      <formula>0.95</formula>
    </cfRule>
  </conditionalFormatting>
  <conditionalFormatting sqref="AZ12">
    <cfRule type="cellIs" dxfId="183" priority="265" operator="between">
      <formula>0.95</formula>
      <formula>1</formula>
    </cfRule>
  </conditionalFormatting>
  <conditionalFormatting sqref="BA12">
    <cfRule type="cellIs" dxfId="182" priority="264" operator="greaterThan">
      <formula>1</formula>
    </cfRule>
  </conditionalFormatting>
  <conditionalFormatting sqref="AW12">
    <cfRule type="cellIs" dxfId="181" priority="263" stopIfTrue="1" operator="between">
      <formula>0</formula>
      <formula>0.5</formula>
    </cfRule>
  </conditionalFormatting>
  <conditionalFormatting sqref="AX13:AX16">
    <cfRule type="cellIs" dxfId="180" priority="262" operator="between">
      <formula>0.501</formula>
      <formula>0.75</formula>
    </cfRule>
  </conditionalFormatting>
  <conditionalFormatting sqref="AY13:AY16">
    <cfRule type="cellIs" dxfId="179" priority="261" operator="between">
      <formula>0.76</formula>
      <formula>0.95</formula>
    </cfRule>
  </conditionalFormatting>
  <conditionalFormatting sqref="AZ13:AZ16">
    <cfRule type="cellIs" dxfId="178" priority="260" operator="between">
      <formula>0.95</formula>
      <formula>1</formula>
    </cfRule>
  </conditionalFormatting>
  <conditionalFormatting sqref="BA13:BA16">
    <cfRule type="cellIs" dxfId="177" priority="259" operator="greaterThan">
      <formula>1</formula>
    </cfRule>
  </conditionalFormatting>
  <conditionalFormatting sqref="AW13:AW16">
    <cfRule type="cellIs" dxfId="176" priority="258" stopIfTrue="1" operator="between">
      <formula>0</formula>
      <formula>0.5</formula>
    </cfRule>
  </conditionalFormatting>
  <conditionalFormatting sqref="AX17">
    <cfRule type="cellIs" dxfId="175" priority="257" operator="between">
      <formula>0.501</formula>
      <formula>0.75</formula>
    </cfRule>
  </conditionalFormatting>
  <conditionalFormatting sqref="AY17">
    <cfRule type="cellIs" dxfId="174" priority="256" operator="between">
      <formula>0.76</formula>
      <formula>0.95</formula>
    </cfRule>
  </conditionalFormatting>
  <conditionalFormatting sqref="AZ17">
    <cfRule type="cellIs" dxfId="173" priority="255" operator="between">
      <formula>0.95</formula>
      <formula>1</formula>
    </cfRule>
  </conditionalFormatting>
  <conditionalFormatting sqref="BA17">
    <cfRule type="cellIs" dxfId="172" priority="254" operator="greaterThan">
      <formula>1</formula>
    </cfRule>
  </conditionalFormatting>
  <conditionalFormatting sqref="AW17">
    <cfRule type="cellIs" dxfId="171" priority="253" stopIfTrue="1" operator="between">
      <formula>0</formula>
      <formula>0.5</formula>
    </cfRule>
  </conditionalFormatting>
  <conditionalFormatting sqref="AX18">
    <cfRule type="cellIs" dxfId="170" priority="252" operator="between">
      <formula>0.501</formula>
      <formula>0.75</formula>
    </cfRule>
  </conditionalFormatting>
  <conditionalFormatting sqref="AY18">
    <cfRule type="cellIs" dxfId="169" priority="251" operator="between">
      <formula>0.76</formula>
      <formula>0.95</formula>
    </cfRule>
  </conditionalFormatting>
  <conditionalFormatting sqref="AZ18">
    <cfRule type="cellIs" dxfId="168" priority="250" operator="between">
      <formula>0.95</formula>
      <formula>1</formula>
    </cfRule>
  </conditionalFormatting>
  <conditionalFormatting sqref="BA18">
    <cfRule type="cellIs" dxfId="167" priority="249" operator="greaterThan">
      <formula>1</formula>
    </cfRule>
  </conditionalFormatting>
  <conditionalFormatting sqref="AW18">
    <cfRule type="cellIs" dxfId="166" priority="248" stopIfTrue="1" operator="between">
      <formula>0</formula>
      <formula>0.5</formula>
    </cfRule>
  </conditionalFormatting>
  <conditionalFormatting sqref="W6">
    <cfRule type="cellIs" dxfId="165" priority="247" stopIfTrue="1" operator="between">
      <formula>0</formula>
      <formula>0.255</formula>
    </cfRule>
  </conditionalFormatting>
  <conditionalFormatting sqref="X6">
    <cfRule type="cellIs" dxfId="164" priority="246" operator="between">
      <formula>0.2551</formula>
      <formula>0.375</formula>
    </cfRule>
  </conditionalFormatting>
  <conditionalFormatting sqref="Y6">
    <cfRule type="cellIs" dxfId="163" priority="245" operator="between">
      <formula>0.3751</formula>
      <formula>0.475</formula>
    </cfRule>
  </conditionalFormatting>
  <conditionalFormatting sqref="Z6">
    <cfRule type="cellIs" dxfId="162" priority="244" operator="between">
      <formula>0.4751</formula>
      <formula>0.51</formula>
    </cfRule>
  </conditionalFormatting>
  <conditionalFormatting sqref="AA6">
    <cfRule type="cellIs" dxfId="161" priority="243" operator="greaterThan">
      <formula>0.505</formula>
    </cfRule>
  </conditionalFormatting>
  <conditionalFormatting sqref="AB8">
    <cfRule type="cellIs" dxfId="160" priority="242" operator="greaterThan">
      <formula>0.505</formula>
    </cfRule>
  </conditionalFormatting>
  <conditionalFormatting sqref="W8">
    <cfRule type="cellIs" dxfId="159" priority="241" stopIfTrue="1" operator="between">
      <formula>0</formula>
      <formula>0.255</formula>
    </cfRule>
  </conditionalFormatting>
  <conditionalFormatting sqref="X8">
    <cfRule type="cellIs" dxfId="158" priority="240" operator="between">
      <formula>0.2551</formula>
      <formula>0.375</formula>
    </cfRule>
  </conditionalFormatting>
  <conditionalFormatting sqref="Y8">
    <cfRule type="cellIs" dxfId="157" priority="239" operator="between">
      <formula>0.3751</formula>
      <formula>0.475</formula>
    </cfRule>
  </conditionalFormatting>
  <conditionalFormatting sqref="Z8">
    <cfRule type="cellIs" dxfId="156" priority="238" operator="between">
      <formula>0.48</formula>
      <formula>0.51</formula>
    </cfRule>
  </conditionalFormatting>
  <conditionalFormatting sqref="D6">
    <cfRule type="cellIs" dxfId="155" priority="226" stopIfTrue="1" operator="between">
      <formula>0</formula>
      <formula>0.5</formula>
    </cfRule>
  </conditionalFormatting>
  <conditionalFormatting sqref="E6">
    <cfRule type="cellIs" dxfId="154" priority="225" operator="between">
      <formula>0.51</formula>
      <formula>0.75</formula>
    </cfRule>
  </conditionalFormatting>
  <conditionalFormatting sqref="F6">
    <cfRule type="cellIs" dxfId="153" priority="224" operator="between">
      <formula>0.76</formula>
      <formula>0.95</formula>
    </cfRule>
  </conditionalFormatting>
  <conditionalFormatting sqref="G6">
    <cfRule type="cellIs" dxfId="152" priority="223" operator="between">
      <formula>0.96</formula>
      <formula>1</formula>
    </cfRule>
  </conditionalFormatting>
  <conditionalFormatting sqref="H6">
    <cfRule type="cellIs" dxfId="151" priority="222" operator="greaterThan">
      <formula>1</formula>
    </cfRule>
  </conditionalFormatting>
  <conditionalFormatting sqref="D7">
    <cfRule type="cellIs" dxfId="150" priority="221" stopIfTrue="1" operator="between">
      <formula>0</formula>
      <formula>0.5</formula>
    </cfRule>
  </conditionalFormatting>
  <conditionalFormatting sqref="E7">
    <cfRule type="cellIs" dxfId="149" priority="220" operator="between">
      <formula>0.51</formula>
      <formula>0.75</formula>
    </cfRule>
  </conditionalFormatting>
  <conditionalFormatting sqref="F7">
    <cfRule type="cellIs" dxfId="148" priority="219" operator="between">
      <formula>0.76</formula>
      <formula>0.95</formula>
    </cfRule>
  </conditionalFormatting>
  <conditionalFormatting sqref="G7">
    <cfRule type="cellIs" dxfId="147" priority="218" operator="between">
      <formula>0.96</formula>
      <formula>1</formula>
    </cfRule>
  </conditionalFormatting>
  <conditionalFormatting sqref="H7">
    <cfRule type="cellIs" dxfId="146" priority="217" operator="greaterThan">
      <formula>1</formula>
    </cfRule>
  </conditionalFormatting>
  <conditionalFormatting sqref="D8:D18">
    <cfRule type="cellIs" dxfId="145" priority="216" stopIfTrue="1" operator="between">
      <formula>0</formula>
      <formula>0.5</formula>
    </cfRule>
  </conditionalFormatting>
  <conditionalFormatting sqref="E8:E18">
    <cfRule type="cellIs" dxfId="144" priority="215" operator="between">
      <formula>0.51</formula>
      <formula>0.75</formula>
    </cfRule>
  </conditionalFormatting>
  <conditionalFormatting sqref="F8:F18">
    <cfRule type="cellIs" dxfId="143" priority="214" operator="between">
      <formula>0.76</formula>
      <formula>0.95</formula>
    </cfRule>
  </conditionalFormatting>
  <conditionalFormatting sqref="G8:G18">
    <cfRule type="cellIs" dxfId="142" priority="213" operator="between">
      <formula>0.96</formula>
      <formula>1</formula>
    </cfRule>
  </conditionalFormatting>
  <conditionalFormatting sqref="H8:H18">
    <cfRule type="cellIs" dxfId="141" priority="212" operator="greaterThan">
      <formula>1</formula>
    </cfRule>
  </conditionalFormatting>
  <conditionalFormatting sqref="J6">
    <cfRule type="cellIs" dxfId="140" priority="211" stopIfTrue="1" operator="between">
      <formula>0</formula>
      <formula>0.125</formula>
    </cfRule>
  </conditionalFormatting>
  <conditionalFormatting sqref="K6">
    <cfRule type="cellIs" dxfId="139" priority="210" operator="between">
      <formula>0.1251</formula>
      <formula>0.1875</formula>
    </cfRule>
  </conditionalFormatting>
  <conditionalFormatting sqref="L6">
    <cfRule type="cellIs" dxfId="138" priority="209" operator="between">
      <formula>0.1876</formula>
      <formula>0.2375</formula>
    </cfRule>
  </conditionalFormatting>
  <conditionalFormatting sqref="M6">
    <cfRule type="cellIs" dxfId="137" priority="208" operator="between">
      <formula>0.2376</formula>
      <formula>0.25</formula>
    </cfRule>
  </conditionalFormatting>
  <conditionalFormatting sqref="N6">
    <cfRule type="cellIs" dxfId="136" priority="207" operator="greaterThan">
      <formula>0.25</formula>
    </cfRule>
  </conditionalFormatting>
  <conditionalFormatting sqref="J7">
    <cfRule type="cellIs" dxfId="135" priority="206" stopIfTrue="1" operator="between">
      <formula>0</formula>
      <formula>0.125</formula>
    </cfRule>
  </conditionalFormatting>
  <conditionalFormatting sqref="K7">
    <cfRule type="cellIs" dxfId="134" priority="205" operator="between">
      <formula>0.1251</formula>
      <formula>0.1875</formula>
    </cfRule>
  </conditionalFormatting>
  <conditionalFormatting sqref="L7">
    <cfRule type="cellIs" dxfId="133" priority="204" operator="between">
      <formula>0.1876</formula>
      <formula>0.2375</formula>
    </cfRule>
  </conditionalFormatting>
  <conditionalFormatting sqref="M7">
    <cfRule type="cellIs" dxfId="132" priority="203" operator="between">
      <formula>0.2376</formula>
      <formula>0.25</formula>
    </cfRule>
  </conditionalFormatting>
  <conditionalFormatting sqref="N7">
    <cfRule type="cellIs" dxfId="131" priority="202" operator="greaterThan">
      <formula>0.25</formula>
    </cfRule>
  </conditionalFormatting>
  <conditionalFormatting sqref="J8:J18">
    <cfRule type="cellIs" dxfId="130" priority="201" stopIfTrue="1" operator="between">
      <formula>0</formula>
      <formula>0.125</formula>
    </cfRule>
  </conditionalFormatting>
  <conditionalFormatting sqref="K8:K18">
    <cfRule type="cellIs" dxfId="129" priority="200" operator="between">
      <formula>0.1251</formula>
      <formula>0.1875</formula>
    </cfRule>
  </conditionalFormatting>
  <conditionalFormatting sqref="L8:L18">
    <cfRule type="cellIs" dxfId="128" priority="199" operator="between">
      <formula>0.1876</formula>
      <formula>0.2375</formula>
    </cfRule>
  </conditionalFormatting>
  <conditionalFormatting sqref="M8:M18">
    <cfRule type="cellIs" dxfId="127" priority="198" operator="between">
      <formula>0.2376</formula>
      <formula>0.25</formula>
    </cfRule>
  </conditionalFormatting>
  <conditionalFormatting sqref="N8:N18">
    <cfRule type="cellIs" dxfId="126" priority="197" operator="greaterThan">
      <formula>0.25</formula>
    </cfRule>
  </conditionalFormatting>
  <conditionalFormatting sqref="AA8">
    <cfRule type="cellIs" dxfId="125" priority="196" operator="greaterThan">
      <formula>0.505</formula>
    </cfRule>
  </conditionalFormatting>
  <conditionalFormatting sqref="Q14">
    <cfRule type="cellIs" dxfId="124" priority="195" stopIfTrue="1" operator="between">
      <formula>0</formula>
      <formula>0.5</formula>
    </cfRule>
  </conditionalFormatting>
  <conditionalFormatting sqref="R14">
    <cfRule type="cellIs" dxfId="123" priority="194" operator="between">
      <formula>0.51</formula>
      <formula>0.75</formula>
    </cfRule>
  </conditionalFormatting>
  <conditionalFormatting sqref="S14">
    <cfRule type="cellIs" dxfId="122" priority="193" operator="between">
      <formula>0.7501</formula>
      <formula>0.95</formula>
    </cfRule>
  </conditionalFormatting>
  <conditionalFormatting sqref="T14">
    <cfRule type="cellIs" dxfId="121" priority="192" operator="between">
      <formula>0.95</formula>
      <formula>1</formula>
    </cfRule>
  </conditionalFormatting>
  <conditionalFormatting sqref="U14">
    <cfRule type="cellIs" dxfId="120" priority="191" operator="greaterThan">
      <formula>1</formula>
    </cfRule>
  </conditionalFormatting>
  <conditionalFormatting sqref="Q15:Q17">
    <cfRule type="cellIs" dxfId="119" priority="190" stopIfTrue="1" operator="between">
      <formula>0</formula>
      <formula>0.5</formula>
    </cfRule>
  </conditionalFormatting>
  <conditionalFormatting sqref="R15:R17">
    <cfRule type="cellIs" dxfId="118" priority="189" operator="between">
      <formula>0.51</formula>
      <formula>0.75</formula>
    </cfRule>
  </conditionalFormatting>
  <conditionalFormatting sqref="S15:S17">
    <cfRule type="cellIs" dxfId="117" priority="188" operator="between">
      <formula>0.76</formula>
      <formula>0.95</formula>
    </cfRule>
  </conditionalFormatting>
  <conditionalFormatting sqref="T15:T17">
    <cfRule type="cellIs" dxfId="116" priority="187" operator="between">
      <formula>0.95</formula>
      <formula>1</formula>
    </cfRule>
  </conditionalFormatting>
  <conditionalFormatting sqref="U15:U17">
    <cfRule type="cellIs" dxfId="115" priority="186" operator="greaterThan">
      <formula>1</formula>
    </cfRule>
  </conditionalFormatting>
  <conditionalFormatting sqref="W10:W17">
    <cfRule type="cellIs" dxfId="114" priority="185" stopIfTrue="1" operator="between">
      <formula>0</formula>
      <formula>0.255</formula>
    </cfRule>
  </conditionalFormatting>
  <conditionalFormatting sqref="X10:X17">
    <cfRule type="cellIs" dxfId="113" priority="184" operator="between">
      <formula>0.2551</formula>
      <formula>0.375</formula>
    </cfRule>
  </conditionalFormatting>
  <conditionalFormatting sqref="Y10:Y17">
    <cfRule type="cellIs" dxfId="112" priority="183" operator="between">
      <formula>0.38</formula>
      <formula>0.475</formula>
    </cfRule>
  </conditionalFormatting>
  <conditionalFormatting sqref="Z10:Z17">
    <cfRule type="cellIs" dxfId="111" priority="182" operator="between">
      <formula>0.48</formula>
      <formula>0.51</formula>
    </cfRule>
  </conditionalFormatting>
  <conditionalFormatting sqref="AA10:AA17">
    <cfRule type="cellIs" dxfId="110" priority="181" operator="greaterThan">
      <formula>0.505</formula>
    </cfRule>
  </conditionalFormatting>
  <conditionalFormatting sqref="AD16">
    <cfRule type="cellIs" dxfId="109" priority="125" stopIfTrue="1" operator="between">
      <formula>0</formula>
      <formula>0.5</formula>
    </cfRule>
  </conditionalFormatting>
  <conditionalFormatting sqref="AE16">
    <cfRule type="cellIs" dxfId="108" priority="124" operator="between">
      <formula>0.51</formula>
      <formula>0.75</formula>
    </cfRule>
  </conditionalFormatting>
  <conditionalFormatting sqref="AF16">
    <cfRule type="cellIs" dxfId="107" priority="123" operator="between">
      <formula>0.76</formula>
      <formula>0.95</formula>
    </cfRule>
  </conditionalFormatting>
  <conditionalFormatting sqref="AG16">
    <cfRule type="cellIs" dxfId="106" priority="122" operator="between">
      <formula>0.95</formula>
      <formula>1</formula>
    </cfRule>
  </conditionalFormatting>
  <conditionalFormatting sqref="AH16">
    <cfRule type="cellIs" dxfId="105" priority="121" operator="greaterThan">
      <formula>1</formula>
    </cfRule>
  </conditionalFormatting>
  <conditionalFormatting sqref="AD15">
    <cfRule type="cellIs" dxfId="104" priority="120" stopIfTrue="1" operator="between">
      <formula>0</formula>
      <formula>0.5</formula>
    </cfRule>
  </conditionalFormatting>
  <conditionalFormatting sqref="AE15">
    <cfRule type="cellIs" dxfId="103" priority="119" operator="between">
      <formula>0.51</formula>
      <formula>0.75</formula>
    </cfRule>
  </conditionalFormatting>
  <conditionalFormatting sqref="AF15">
    <cfRule type="cellIs" dxfId="102" priority="118" operator="between">
      <formula>0.76</formula>
      <formula>0.95</formula>
    </cfRule>
  </conditionalFormatting>
  <conditionalFormatting sqref="AG15">
    <cfRule type="cellIs" dxfId="101" priority="117" operator="between">
      <formula>0.95</formula>
      <formula>1</formula>
    </cfRule>
  </conditionalFormatting>
  <conditionalFormatting sqref="AH15">
    <cfRule type="cellIs" dxfId="100" priority="116" operator="greaterThan">
      <formula>1</formula>
    </cfRule>
  </conditionalFormatting>
  <conditionalFormatting sqref="AD14">
    <cfRule type="cellIs" dxfId="99" priority="115" stopIfTrue="1" operator="between">
      <formula>0</formula>
      <formula>0.5</formula>
    </cfRule>
  </conditionalFormatting>
  <conditionalFormatting sqref="AE14">
    <cfRule type="cellIs" dxfId="98" priority="114" operator="between">
      <formula>0.51</formula>
      <formula>0.75</formula>
    </cfRule>
  </conditionalFormatting>
  <conditionalFormatting sqref="AF14">
    <cfRule type="cellIs" dxfId="97" priority="113" operator="between">
      <formula>0.76</formula>
      <formula>0.95</formula>
    </cfRule>
  </conditionalFormatting>
  <conditionalFormatting sqref="AG14">
    <cfRule type="cellIs" dxfId="96" priority="112" operator="between">
      <formula>0.95</formula>
      <formula>1</formula>
    </cfRule>
  </conditionalFormatting>
  <conditionalFormatting sqref="AH14">
    <cfRule type="cellIs" dxfId="95" priority="111" operator="greaterThan">
      <formula>1</formula>
    </cfRule>
  </conditionalFormatting>
  <conditionalFormatting sqref="AD13">
    <cfRule type="cellIs" dxfId="94" priority="110" stopIfTrue="1" operator="between">
      <formula>0</formula>
      <formula>0.5</formula>
    </cfRule>
  </conditionalFormatting>
  <conditionalFormatting sqref="AE13">
    <cfRule type="cellIs" dxfId="93" priority="109" operator="between">
      <formula>0.51</formula>
      <formula>0.75</formula>
    </cfRule>
  </conditionalFormatting>
  <conditionalFormatting sqref="AF13">
    <cfRule type="cellIs" dxfId="92" priority="108" operator="between">
      <formula>0.76</formula>
      <formula>0.95</formula>
    </cfRule>
  </conditionalFormatting>
  <conditionalFormatting sqref="AG13">
    <cfRule type="cellIs" dxfId="91" priority="107" operator="between">
      <formula>0.95</formula>
      <formula>1</formula>
    </cfRule>
  </conditionalFormatting>
  <conditionalFormatting sqref="AH13">
    <cfRule type="cellIs" dxfId="90" priority="106" operator="greaterThan">
      <formula>1</formula>
    </cfRule>
  </conditionalFormatting>
  <conditionalFormatting sqref="AD12">
    <cfRule type="cellIs" dxfId="89" priority="105" stopIfTrue="1" operator="between">
      <formula>0</formula>
      <formula>0.5</formula>
    </cfRule>
  </conditionalFormatting>
  <conditionalFormatting sqref="AE12">
    <cfRule type="cellIs" dxfId="88" priority="104" operator="between">
      <formula>0.51</formula>
      <formula>0.75</formula>
    </cfRule>
  </conditionalFormatting>
  <conditionalFormatting sqref="AF12">
    <cfRule type="cellIs" dxfId="87" priority="103" operator="between">
      <formula>0.76</formula>
      <formula>0.95</formula>
    </cfRule>
  </conditionalFormatting>
  <conditionalFormatting sqref="AG12">
    <cfRule type="cellIs" dxfId="86" priority="102" operator="between">
      <formula>0.95</formula>
      <formula>1</formula>
    </cfRule>
  </conditionalFormatting>
  <conditionalFormatting sqref="AH12">
    <cfRule type="cellIs" dxfId="85" priority="101" operator="greaterThan">
      <formula>1</formula>
    </cfRule>
  </conditionalFormatting>
  <conditionalFormatting sqref="AD11">
    <cfRule type="cellIs" dxfId="84" priority="100" stopIfTrue="1" operator="between">
      <formula>0</formula>
      <formula>0.5</formula>
    </cfRule>
  </conditionalFormatting>
  <conditionalFormatting sqref="AE11">
    <cfRule type="cellIs" dxfId="83" priority="99" operator="between">
      <formula>0.51</formula>
      <formula>0.75</formula>
    </cfRule>
  </conditionalFormatting>
  <conditionalFormatting sqref="AF11">
    <cfRule type="cellIs" dxfId="82" priority="98" operator="between">
      <formula>0.76</formula>
      <formula>0.95</formula>
    </cfRule>
  </conditionalFormatting>
  <conditionalFormatting sqref="AG11">
    <cfRule type="cellIs" dxfId="81" priority="97" operator="between">
      <formula>0.95</formula>
      <formula>1</formula>
    </cfRule>
  </conditionalFormatting>
  <conditionalFormatting sqref="AH11">
    <cfRule type="cellIs" dxfId="80" priority="96" operator="greaterThan">
      <formula>1</formula>
    </cfRule>
  </conditionalFormatting>
  <conditionalFormatting sqref="AD10">
    <cfRule type="cellIs" dxfId="79" priority="95" stopIfTrue="1" operator="between">
      <formula>0</formula>
      <formula>0.5</formula>
    </cfRule>
  </conditionalFormatting>
  <conditionalFormatting sqref="AE10">
    <cfRule type="cellIs" dxfId="78" priority="94" operator="between">
      <formula>0.51</formula>
      <formula>0.75</formula>
    </cfRule>
  </conditionalFormatting>
  <conditionalFormatting sqref="AF10">
    <cfRule type="cellIs" dxfId="77" priority="93" operator="between">
      <formula>0.76</formula>
      <formula>0.95</formula>
    </cfRule>
  </conditionalFormatting>
  <conditionalFormatting sqref="AG10">
    <cfRule type="cellIs" dxfId="76" priority="92" operator="between">
      <formula>0.95</formula>
      <formula>1</formula>
    </cfRule>
  </conditionalFormatting>
  <conditionalFormatting sqref="AH10">
    <cfRule type="cellIs" dxfId="75" priority="91" operator="greaterThan">
      <formula>1</formula>
    </cfRule>
  </conditionalFormatting>
  <conditionalFormatting sqref="AD8">
    <cfRule type="cellIs" dxfId="74" priority="80" stopIfTrue="1" operator="between">
      <formula>0</formula>
      <formula>0.5</formula>
    </cfRule>
  </conditionalFormatting>
  <conditionalFormatting sqref="AE8">
    <cfRule type="cellIs" dxfId="73" priority="79" operator="between">
      <formula>0.51</formula>
      <formula>0.75</formula>
    </cfRule>
  </conditionalFormatting>
  <conditionalFormatting sqref="AF8">
    <cfRule type="cellIs" dxfId="72" priority="78" operator="between">
      <formula>0.76</formula>
      <formula>0.95</formula>
    </cfRule>
  </conditionalFormatting>
  <conditionalFormatting sqref="AG8">
    <cfRule type="cellIs" dxfId="71" priority="77" operator="between">
      <formula>0.95</formula>
      <formula>1</formula>
    </cfRule>
  </conditionalFormatting>
  <conditionalFormatting sqref="AH8">
    <cfRule type="cellIs" dxfId="70" priority="76" operator="greaterThan">
      <formula>1</formula>
    </cfRule>
  </conditionalFormatting>
  <conditionalFormatting sqref="AD9">
    <cfRule type="cellIs" dxfId="69" priority="75" stopIfTrue="1" operator="between">
      <formula>0</formula>
      <formula>0.5</formula>
    </cfRule>
  </conditionalFormatting>
  <conditionalFormatting sqref="AE9">
    <cfRule type="cellIs" dxfId="68" priority="74" operator="between">
      <formula>0.51</formula>
      <formula>0.75</formula>
    </cfRule>
  </conditionalFormatting>
  <conditionalFormatting sqref="AF9">
    <cfRule type="cellIs" dxfId="67" priority="73" operator="between">
      <formula>0.76</formula>
      <formula>0.95</formula>
    </cfRule>
  </conditionalFormatting>
  <conditionalFormatting sqref="AG9">
    <cfRule type="cellIs" dxfId="66" priority="72" operator="between">
      <formula>0.95</formula>
      <formula>1</formula>
    </cfRule>
  </conditionalFormatting>
  <conditionalFormatting sqref="AH9">
    <cfRule type="cellIs" dxfId="65" priority="71" operator="greaterThan">
      <formula>1</formula>
    </cfRule>
  </conditionalFormatting>
  <conditionalFormatting sqref="AD7">
    <cfRule type="cellIs" dxfId="64" priority="70" stopIfTrue="1" operator="between">
      <formula>0</formula>
      <formula>0.5</formula>
    </cfRule>
  </conditionalFormatting>
  <conditionalFormatting sqref="AE7">
    <cfRule type="cellIs" dxfId="63" priority="69" operator="between">
      <formula>0.51</formula>
      <formula>0.75</formula>
    </cfRule>
  </conditionalFormatting>
  <conditionalFormatting sqref="AF7">
    <cfRule type="cellIs" dxfId="62" priority="68" operator="between">
      <formula>0.76</formula>
      <formula>0.95</formula>
    </cfRule>
  </conditionalFormatting>
  <conditionalFormatting sqref="AG7">
    <cfRule type="cellIs" dxfId="61" priority="67" operator="between">
      <formula>0.95</formula>
      <formula>1</formula>
    </cfRule>
  </conditionalFormatting>
  <conditionalFormatting sqref="AH7">
    <cfRule type="cellIs" dxfId="60" priority="66" operator="greaterThan">
      <formula>1</formula>
    </cfRule>
  </conditionalFormatting>
  <conditionalFormatting sqref="AD6">
    <cfRule type="cellIs" dxfId="59" priority="65" stopIfTrue="1" operator="between">
      <formula>0</formula>
      <formula>0.5</formula>
    </cfRule>
  </conditionalFormatting>
  <conditionalFormatting sqref="AE6">
    <cfRule type="cellIs" dxfId="58" priority="64" operator="between">
      <formula>0.51</formula>
      <formula>0.75</formula>
    </cfRule>
  </conditionalFormatting>
  <conditionalFormatting sqref="AF6">
    <cfRule type="cellIs" dxfId="57" priority="63" operator="between">
      <formula>0.76</formula>
      <formula>0.95</formula>
    </cfRule>
  </conditionalFormatting>
  <conditionalFormatting sqref="AG6">
    <cfRule type="cellIs" dxfId="56" priority="62" operator="between">
      <formula>0.95</formula>
      <formula>1</formula>
    </cfRule>
  </conditionalFormatting>
  <conditionalFormatting sqref="AH6">
    <cfRule type="cellIs" dxfId="55" priority="61" operator="greaterThan">
      <formula>1</formula>
    </cfRule>
  </conditionalFormatting>
  <conditionalFormatting sqref="AJ16">
    <cfRule type="cellIs" dxfId="54" priority="60" stopIfTrue="1" operator="between">
      <formula>0</formula>
      <formula>0.375</formula>
    </cfRule>
  </conditionalFormatting>
  <conditionalFormatting sqref="AK16">
    <cfRule type="cellIs" dxfId="53" priority="59" operator="between">
      <formula>0.3751</formula>
      <formula>0.5625</formula>
    </cfRule>
  </conditionalFormatting>
  <conditionalFormatting sqref="AL16">
    <cfRule type="cellIs" dxfId="52" priority="58" operator="between">
      <formula>0.563</formula>
      <formula>0.7125</formula>
    </cfRule>
  </conditionalFormatting>
  <conditionalFormatting sqref="AM16">
    <cfRule type="cellIs" dxfId="51" priority="57" operator="between">
      <formula>0.713</formula>
      <formula>0.75</formula>
    </cfRule>
  </conditionalFormatting>
  <conditionalFormatting sqref="AN16">
    <cfRule type="cellIs" dxfId="50" priority="56" operator="greaterThan">
      <formula>0.755</formula>
    </cfRule>
  </conditionalFormatting>
  <conditionalFormatting sqref="AJ15">
    <cfRule type="cellIs" dxfId="49" priority="55" stopIfTrue="1" operator="between">
      <formula>0</formula>
      <formula>0.375</formula>
    </cfRule>
  </conditionalFormatting>
  <conditionalFormatting sqref="AK15">
    <cfRule type="cellIs" dxfId="48" priority="54" operator="between">
      <formula>0.3751</formula>
      <formula>0.5625</formula>
    </cfRule>
  </conditionalFormatting>
  <conditionalFormatting sqref="AL15">
    <cfRule type="cellIs" dxfId="47" priority="53" operator="between">
      <formula>0.563</formula>
      <formula>0.7125</formula>
    </cfRule>
  </conditionalFormatting>
  <conditionalFormatting sqref="AM15">
    <cfRule type="cellIs" dxfId="46" priority="52" operator="between">
      <formula>0.713</formula>
      <formula>0.75</formula>
    </cfRule>
  </conditionalFormatting>
  <conditionalFormatting sqref="AN15">
    <cfRule type="cellIs" dxfId="45" priority="51" operator="greaterThan">
      <formula>0.755</formula>
    </cfRule>
  </conditionalFormatting>
  <conditionalFormatting sqref="AJ14">
    <cfRule type="cellIs" dxfId="44" priority="50" stopIfTrue="1" operator="between">
      <formula>0</formula>
      <formula>0.375</formula>
    </cfRule>
  </conditionalFormatting>
  <conditionalFormatting sqref="AK14">
    <cfRule type="cellIs" dxfId="43" priority="49" operator="between">
      <formula>0.3751</formula>
      <formula>0.5625</formula>
    </cfRule>
  </conditionalFormatting>
  <conditionalFormatting sqref="AL14">
    <cfRule type="cellIs" dxfId="42" priority="48" operator="between">
      <formula>0.563</formula>
      <formula>0.7125</formula>
    </cfRule>
  </conditionalFormatting>
  <conditionalFormatting sqref="AM14">
    <cfRule type="cellIs" dxfId="41" priority="47" operator="between">
      <formula>0.713</formula>
      <formula>0.75</formula>
    </cfRule>
  </conditionalFormatting>
  <conditionalFormatting sqref="AN14">
    <cfRule type="cellIs" dxfId="40" priority="46" operator="greaterThan">
      <formula>0.755</formula>
    </cfRule>
  </conditionalFormatting>
  <conditionalFormatting sqref="AJ13">
    <cfRule type="cellIs" dxfId="39" priority="45" stopIfTrue="1" operator="between">
      <formula>0</formula>
      <formula>0.375</formula>
    </cfRule>
  </conditionalFormatting>
  <conditionalFormatting sqref="AK13">
    <cfRule type="cellIs" dxfId="38" priority="44" operator="between">
      <formula>0.3751</formula>
      <formula>0.5625</formula>
    </cfRule>
  </conditionalFormatting>
  <conditionalFormatting sqref="AL13">
    <cfRule type="cellIs" dxfId="37" priority="43" operator="between">
      <formula>0.563</formula>
      <formula>0.7125</formula>
    </cfRule>
  </conditionalFormatting>
  <conditionalFormatting sqref="AM13">
    <cfRule type="cellIs" dxfId="36" priority="42" operator="between">
      <formula>0.713</formula>
      <formula>0.75</formula>
    </cfRule>
  </conditionalFormatting>
  <conditionalFormatting sqref="AN13">
    <cfRule type="cellIs" dxfId="35" priority="41" operator="greaterThan">
      <formula>0.755</formula>
    </cfRule>
  </conditionalFormatting>
  <conditionalFormatting sqref="AJ12">
    <cfRule type="cellIs" dxfId="34" priority="40" stopIfTrue="1" operator="between">
      <formula>0</formula>
      <formula>0.375</formula>
    </cfRule>
  </conditionalFormatting>
  <conditionalFormatting sqref="AK12">
    <cfRule type="cellIs" dxfId="33" priority="39" operator="between">
      <formula>0.3751</formula>
      <formula>0.5625</formula>
    </cfRule>
  </conditionalFormatting>
  <conditionalFormatting sqref="AL12">
    <cfRule type="cellIs" dxfId="32" priority="38" operator="between">
      <formula>0.563</formula>
      <formula>0.7125</formula>
    </cfRule>
  </conditionalFormatting>
  <conditionalFormatting sqref="AM12">
    <cfRule type="cellIs" dxfId="31" priority="37" operator="between">
      <formula>0.713</formula>
      <formula>0.75</formula>
    </cfRule>
  </conditionalFormatting>
  <conditionalFormatting sqref="AN12">
    <cfRule type="cellIs" dxfId="30" priority="36" operator="greaterThan">
      <formula>0.755</formula>
    </cfRule>
  </conditionalFormatting>
  <conditionalFormatting sqref="AJ11">
    <cfRule type="cellIs" dxfId="29" priority="35" stopIfTrue="1" operator="between">
      <formula>0</formula>
      <formula>0.375</formula>
    </cfRule>
  </conditionalFormatting>
  <conditionalFormatting sqref="AK11">
    <cfRule type="cellIs" dxfId="28" priority="34" operator="between">
      <formula>0.3751</formula>
      <formula>0.5625</formula>
    </cfRule>
  </conditionalFormatting>
  <conditionalFormatting sqref="AL11">
    <cfRule type="cellIs" dxfId="27" priority="33" operator="between">
      <formula>0.563</formula>
      <formula>0.7125</formula>
    </cfRule>
  </conditionalFormatting>
  <conditionalFormatting sqref="AM11">
    <cfRule type="cellIs" dxfId="26" priority="32" operator="between">
      <formula>0.713</formula>
      <formula>0.75</formula>
    </cfRule>
  </conditionalFormatting>
  <conditionalFormatting sqref="AN11">
    <cfRule type="cellIs" dxfId="25" priority="31" operator="greaterThan">
      <formula>0.755</formula>
    </cfRule>
  </conditionalFormatting>
  <conditionalFormatting sqref="AJ10">
    <cfRule type="cellIs" dxfId="24" priority="30" stopIfTrue="1" operator="between">
      <formula>0</formula>
      <formula>0.375</formula>
    </cfRule>
  </conditionalFormatting>
  <conditionalFormatting sqref="AK10">
    <cfRule type="cellIs" dxfId="23" priority="29" operator="between">
      <formula>0.3751</formula>
      <formula>0.5625</formula>
    </cfRule>
  </conditionalFormatting>
  <conditionalFormatting sqref="AL10">
    <cfRule type="cellIs" dxfId="22" priority="28" operator="between">
      <formula>0.563</formula>
      <formula>0.7125</formula>
    </cfRule>
  </conditionalFormatting>
  <conditionalFormatting sqref="AM10">
    <cfRule type="cellIs" dxfId="21" priority="27" operator="between">
      <formula>0.713</formula>
      <formula>0.75</formula>
    </cfRule>
  </conditionalFormatting>
  <conditionalFormatting sqref="AN10">
    <cfRule type="cellIs" dxfId="20" priority="26" operator="greaterThan">
      <formula>0.755</formula>
    </cfRule>
  </conditionalFormatting>
  <conditionalFormatting sqref="AJ9">
    <cfRule type="cellIs" dxfId="19" priority="25" stopIfTrue="1" operator="between">
      <formula>0</formula>
      <formula>0.375</formula>
    </cfRule>
  </conditionalFormatting>
  <conditionalFormatting sqref="AK9">
    <cfRule type="cellIs" dxfId="18" priority="24" operator="between">
      <formula>0.3751</formula>
      <formula>0.5625</formula>
    </cfRule>
  </conditionalFormatting>
  <conditionalFormatting sqref="AL9">
    <cfRule type="cellIs" dxfId="17" priority="23" operator="between">
      <formula>0.563</formula>
      <formula>0.7125</formula>
    </cfRule>
  </conditionalFormatting>
  <conditionalFormatting sqref="AM9">
    <cfRule type="cellIs" dxfId="16" priority="22" operator="between">
      <formula>0.713</formula>
      <formula>0.75</formula>
    </cfRule>
  </conditionalFormatting>
  <conditionalFormatting sqref="AN9">
    <cfRule type="cellIs" dxfId="15" priority="21" operator="greaterThan">
      <formula>0.755</formula>
    </cfRule>
  </conditionalFormatting>
  <conditionalFormatting sqref="AJ8">
    <cfRule type="cellIs" dxfId="14" priority="20" stopIfTrue="1" operator="between">
      <formula>0</formula>
      <formula>0.375</formula>
    </cfRule>
  </conditionalFormatting>
  <conditionalFormatting sqref="AK8">
    <cfRule type="cellIs" dxfId="13" priority="19" operator="between">
      <formula>0.3751</formula>
      <formula>0.5625</formula>
    </cfRule>
  </conditionalFormatting>
  <conditionalFormatting sqref="AL8">
    <cfRule type="cellIs" dxfId="12" priority="18" operator="between">
      <formula>0.563</formula>
      <formula>0.7125</formula>
    </cfRule>
  </conditionalFormatting>
  <conditionalFormatting sqref="AM8">
    <cfRule type="cellIs" dxfId="11" priority="17" operator="between">
      <formula>0.713</formula>
      <formula>0.75</formula>
    </cfRule>
  </conditionalFormatting>
  <conditionalFormatting sqref="AN8">
    <cfRule type="cellIs" dxfId="10" priority="16" operator="greaterThan">
      <formula>0.755</formula>
    </cfRule>
  </conditionalFormatting>
  <conditionalFormatting sqref="AJ7">
    <cfRule type="cellIs" dxfId="9" priority="15" stopIfTrue="1" operator="between">
      <formula>0</formula>
      <formula>0.375</formula>
    </cfRule>
  </conditionalFormatting>
  <conditionalFormatting sqref="AK7">
    <cfRule type="cellIs" dxfId="8" priority="14" operator="between">
      <formula>0.3751</formula>
      <formula>0.5625</formula>
    </cfRule>
  </conditionalFormatting>
  <conditionalFormatting sqref="AL7">
    <cfRule type="cellIs" dxfId="7" priority="13" operator="between">
      <formula>0.563</formula>
      <formula>0.7125</formula>
    </cfRule>
  </conditionalFormatting>
  <conditionalFormatting sqref="AM7">
    <cfRule type="cellIs" dxfId="6" priority="12" operator="between">
      <formula>0.713</formula>
      <formula>0.75</formula>
    </cfRule>
  </conditionalFormatting>
  <conditionalFormatting sqref="AN7">
    <cfRule type="cellIs" dxfId="5" priority="11" operator="greaterThan">
      <formula>0.755</formula>
    </cfRule>
  </conditionalFormatting>
  <conditionalFormatting sqref="AJ6">
    <cfRule type="cellIs" dxfId="4" priority="5" stopIfTrue="1" operator="between">
      <formula>0</formula>
      <formula>0.375</formula>
    </cfRule>
  </conditionalFormatting>
  <conditionalFormatting sqref="AK6">
    <cfRule type="cellIs" dxfId="3" priority="4" operator="between">
      <formula>0.3751</formula>
      <formula>0.5625</formula>
    </cfRule>
  </conditionalFormatting>
  <conditionalFormatting sqref="AL6">
    <cfRule type="cellIs" dxfId="2" priority="3" operator="between">
      <formula>0.563</formula>
      <formula>0.7125</formula>
    </cfRule>
  </conditionalFormatting>
  <conditionalFormatting sqref="AM6">
    <cfRule type="cellIs" dxfId="1" priority="2" operator="between">
      <formula>0.713</formula>
      <formula>0.75</formula>
    </cfRule>
  </conditionalFormatting>
  <conditionalFormatting sqref="AN6">
    <cfRule type="cellIs" dxfId="0"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zoomScaleNormal="100" workbookViewId="0">
      <selection activeCell="B11" sqref="B11:L11"/>
    </sheetView>
  </sheetViews>
  <sheetFormatPr baseColWidth="10" defaultRowHeight="15" x14ac:dyDescent="0.25"/>
  <sheetData>
    <row r="1" spans="1:12" x14ac:dyDescent="0.25">
      <c r="A1" s="1407"/>
      <c r="B1" s="1408"/>
      <c r="C1" s="1413" t="s">
        <v>246</v>
      </c>
      <c r="D1" s="1414"/>
      <c r="E1" s="1431" t="s">
        <v>247</v>
      </c>
      <c r="F1" s="1432"/>
      <c r="G1" s="1432"/>
      <c r="H1" s="1433"/>
      <c r="I1" s="1419"/>
      <c r="J1" s="1420"/>
      <c r="K1" s="1420"/>
      <c r="L1" s="1421"/>
    </row>
    <row r="2" spans="1:12" x14ac:dyDescent="0.25">
      <c r="A2" s="1409"/>
      <c r="B2" s="1410"/>
      <c r="C2" s="1415" t="s">
        <v>248</v>
      </c>
      <c r="D2" s="1416"/>
      <c r="E2" s="1428" t="s">
        <v>250</v>
      </c>
      <c r="F2" s="1429"/>
      <c r="G2" s="1429"/>
      <c r="H2" s="1430"/>
      <c r="I2" s="1422"/>
      <c r="J2" s="1423"/>
      <c r="K2" s="1423"/>
      <c r="L2" s="1424"/>
    </row>
    <row r="3" spans="1:12" ht="15.75" thickBot="1" x14ac:dyDescent="0.3">
      <c r="A3" s="1411"/>
      <c r="B3" s="1412"/>
      <c r="C3" s="1417" t="s">
        <v>242</v>
      </c>
      <c r="D3" s="1418"/>
      <c r="E3" s="1434" t="s">
        <v>254</v>
      </c>
      <c r="F3" s="1435"/>
      <c r="G3" s="21" t="s">
        <v>249</v>
      </c>
      <c r="H3" s="20">
        <v>2</v>
      </c>
      <c r="I3" s="1425"/>
      <c r="J3" s="1426"/>
      <c r="K3" s="1426"/>
      <c r="L3" s="1427"/>
    </row>
    <row r="5" spans="1:12" x14ac:dyDescent="0.25">
      <c r="A5" s="145" t="s">
        <v>1409</v>
      </c>
    </row>
    <row r="6" spans="1:12" x14ac:dyDescent="0.25">
      <c r="A6" s="22"/>
    </row>
    <row r="7" spans="1:12" x14ac:dyDescent="0.25">
      <c r="A7" s="444" t="s">
        <v>1410</v>
      </c>
      <c r="B7" s="1643" t="s">
        <v>1411</v>
      </c>
      <c r="C7" s="1643"/>
      <c r="D7" s="1643"/>
      <c r="E7" s="1643"/>
      <c r="F7" s="1643"/>
      <c r="G7" s="1643"/>
      <c r="H7" s="1643"/>
      <c r="I7" s="1643"/>
      <c r="J7" s="1643"/>
      <c r="K7" s="1643"/>
      <c r="L7" s="1643"/>
    </row>
    <row r="8" spans="1:12" ht="409.5" customHeight="1" x14ac:dyDescent="0.25">
      <c r="A8" s="533" t="s">
        <v>267</v>
      </c>
      <c r="B8" s="1642" t="s">
        <v>1416</v>
      </c>
      <c r="C8" s="1642"/>
      <c r="D8" s="1642"/>
      <c r="E8" s="1642"/>
      <c r="F8" s="1642"/>
      <c r="G8" s="1642"/>
      <c r="H8" s="1642"/>
      <c r="I8" s="1642"/>
      <c r="J8" s="1642"/>
      <c r="K8" s="1642"/>
      <c r="L8" s="1642"/>
    </row>
    <row r="9" spans="1:12" ht="409.5" customHeight="1" x14ac:dyDescent="0.25">
      <c r="A9" s="791" t="s">
        <v>1412</v>
      </c>
      <c r="B9" s="1644" t="s">
        <v>2105</v>
      </c>
      <c r="C9" s="1645"/>
      <c r="D9" s="1645"/>
      <c r="E9" s="1645"/>
      <c r="F9" s="1645"/>
      <c r="G9" s="1645"/>
      <c r="H9" s="1645"/>
      <c r="I9" s="1645"/>
      <c r="J9" s="1645"/>
      <c r="K9" s="1645"/>
      <c r="L9" s="1646"/>
    </row>
    <row r="10" spans="1:12" ht="409.6" customHeight="1" x14ac:dyDescent="0.25">
      <c r="A10" s="995" t="s">
        <v>1413</v>
      </c>
      <c r="B10" s="1644" t="s">
        <v>2099</v>
      </c>
      <c r="C10" s="1645"/>
      <c r="D10" s="1645"/>
      <c r="E10" s="1645"/>
      <c r="F10" s="1645"/>
      <c r="G10" s="1645"/>
      <c r="H10" s="1645"/>
      <c r="I10" s="1645"/>
      <c r="J10" s="1645"/>
      <c r="K10" s="1645"/>
      <c r="L10" s="1646"/>
    </row>
    <row r="11" spans="1:12" ht="408.75" customHeight="1" x14ac:dyDescent="0.25">
      <c r="A11" s="1182" t="s">
        <v>1414</v>
      </c>
      <c r="B11" s="1644" t="s">
        <v>2110</v>
      </c>
      <c r="C11" s="1647"/>
      <c r="D11" s="1647"/>
      <c r="E11" s="1647"/>
      <c r="F11" s="1647"/>
      <c r="G11" s="1647"/>
      <c r="H11" s="1647"/>
      <c r="I11" s="1647"/>
      <c r="J11" s="1647"/>
      <c r="K11" s="1647"/>
      <c r="L11" s="1648"/>
    </row>
  </sheetData>
  <sheetProtection algorithmName="SHA-512" hashValue="uArfdIt0kQnCb4/rPRo6F7zk3iEX2YsQ1X4mlDOXAzwY7rQbR2a+mKWfekp4WyrYUN5CpZztjOhnu1a+DKUlJg==" saltValue="5M3xBmWIcNjXRP9FvQzxcQ==" spinCount="100000" sheet="1" objects="1" scenarios="1"/>
  <mergeCells count="13">
    <mergeCell ref="A1:B3"/>
    <mergeCell ref="C1:D1"/>
    <mergeCell ref="E1:H1"/>
    <mergeCell ref="I1:L3"/>
    <mergeCell ref="C2:D2"/>
    <mergeCell ref="E2:H2"/>
    <mergeCell ref="C3:D3"/>
    <mergeCell ref="E3:F3"/>
    <mergeCell ref="B8:L8"/>
    <mergeCell ref="B7:L7"/>
    <mergeCell ref="B9:L9"/>
    <mergeCell ref="B10:L10"/>
    <mergeCell ref="B11:L11"/>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72" customWidth="1"/>
    <col min="2" max="2" width="22.28515625" style="172" customWidth="1"/>
    <col min="3" max="3" width="42.5703125" style="172" customWidth="1"/>
    <col min="4" max="4" width="38.7109375" style="172" customWidth="1"/>
    <col min="5" max="5" width="32.140625" style="172" customWidth="1"/>
    <col min="6" max="6" width="33.85546875" style="172" customWidth="1"/>
    <col min="7" max="7" width="5.7109375" style="175" customWidth="1"/>
    <col min="8" max="8" width="24.28515625" style="175" customWidth="1"/>
    <col min="9" max="9" width="35.28515625" style="172" customWidth="1"/>
    <col min="10" max="10" width="31" style="172" customWidth="1"/>
    <col min="11" max="11" width="2.5703125" style="174" customWidth="1"/>
    <col min="12" max="12" width="30" style="172" customWidth="1"/>
    <col min="13" max="13" width="30.7109375" style="172" customWidth="1"/>
    <col min="14" max="14" width="33.42578125" style="172" customWidth="1"/>
    <col min="15" max="15" width="2.5703125" style="174" customWidth="1"/>
    <col min="16" max="16" width="11.140625" style="172" customWidth="1"/>
    <col min="17" max="18" width="15.5703125" style="172" customWidth="1"/>
    <col min="19" max="19" width="2.5703125" style="174" customWidth="1"/>
    <col min="20" max="20" width="12.5703125" style="172" customWidth="1"/>
    <col min="21" max="21" width="16.28515625" style="172" customWidth="1"/>
    <col min="22" max="22" width="18.140625" style="172" customWidth="1"/>
    <col min="23" max="23" width="12" style="172" hidden="1" customWidth="1"/>
    <col min="24" max="24" width="5.7109375" style="172" customWidth="1"/>
    <col min="25" max="26" width="0" style="172" hidden="1" customWidth="1"/>
    <col min="27" max="27" width="2.7109375" style="172" hidden="1" customWidth="1"/>
    <col min="28" max="29" width="0" style="172" hidden="1" customWidth="1"/>
    <col min="30" max="30" width="2.7109375" style="172" hidden="1" customWidth="1"/>
    <col min="31" max="32" width="0" style="172" hidden="1" customWidth="1"/>
    <col min="33" max="33" width="2.7109375" style="172" hidden="1" customWidth="1"/>
    <col min="34" max="35" width="0" style="172" hidden="1" customWidth="1"/>
    <col min="36" max="36" width="2.7109375" style="172" hidden="1" customWidth="1"/>
    <col min="37" max="37" width="0" style="172" hidden="1" customWidth="1"/>
    <col min="38" max="38" width="5.7109375" style="172" hidden="1" customWidth="1"/>
    <col min="39" max="40" width="0" style="172" hidden="1" customWidth="1"/>
    <col min="41" max="41" width="2.7109375" style="172" hidden="1" customWidth="1"/>
    <col min="42" max="43" width="0" style="172" hidden="1" customWidth="1"/>
    <col min="44" max="44" width="2.7109375" style="172" hidden="1" customWidth="1"/>
    <col min="45" max="46" width="0" style="172" hidden="1" customWidth="1"/>
    <col min="47" max="47" width="2.7109375" style="172" hidden="1" customWidth="1"/>
    <col min="48" max="49" width="0" style="172" hidden="1" customWidth="1"/>
    <col min="50" max="50" width="2.7109375" style="172" hidden="1" customWidth="1"/>
    <col min="51" max="51" width="0" style="172" hidden="1" customWidth="1"/>
    <col min="52" max="52" width="5.7109375" style="172" hidden="1" customWidth="1"/>
    <col min="53" max="54" width="0" style="172" hidden="1" customWidth="1"/>
    <col min="55" max="55" width="2.7109375" style="172" hidden="1" customWidth="1"/>
    <col min="56" max="57" width="0" style="172" hidden="1" customWidth="1"/>
    <col min="58" max="58" width="2.7109375" style="172" hidden="1" customWidth="1"/>
    <col min="59" max="60" width="0" style="172" hidden="1" customWidth="1"/>
    <col min="61" max="61" width="2.7109375" style="172" hidden="1" customWidth="1"/>
    <col min="62" max="63" width="0" style="172" hidden="1" customWidth="1"/>
    <col min="64" max="64" width="2.7109375" style="172" hidden="1" customWidth="1"/>
    <col min="65" max="65" width="0" style="172" hidden="1" customWidth="1"/>
    <col min="66" max="66" width="5.7109375" style="172" hidden="1" customWidth="1"/>
    <col min="67" max="68" width="0" style="172" hidden="1" customWidth="1"/>
    <col min="69" max="69" width="2.7109375" style="172" hidden="1" customWidth="1"/>
    <col min="70" max="71" width="0" style="172" hidden="1" customWidth="1"/>
    <col min="72" max="72" width="2.7109375" style="172" hidden="1" customWidth="1"/>
    <col min="73" max="74" width="0" style="172" hidden="1" customWidth="1"/>
    <col min="75" max="75" width="2.7109375" style="172" hidden="1" customWidth="1"/>
    <col min="76" max="77" width="0" style="172" hidden="1" customWidth="1"/>
    <col min="78" max="78" width="2.7109375" style="172" hidden="1" customWidth="1"/>
    <col min="79" max="79" width="0" style="172" hidden="1" customWidth="1"/>
    <col min="80" max="255" width="11" style="172"/>
    <col min="256" max="256" width="1.5703125" style="172" customWidth="1"/>
    <col min="257" max="257" width="8.5703125" style="172" customWidth="1"/>
    <col min="258" max="258" width="28.7109375" style="172" customWidth="1"/>
    <col min="259" max="259" width="26.5703125" style="172" customWidth="1"/>
    <col min="260" max="260" width="7.7109375" style="172" customWidth="1"/>
    <col min="261" max="261" width="19.42578125" style="172" customWidth="1"/>
    <col min="262" max="262" width="44.28515625" style="172" customWidth="1"/>
    <col min="263" max="263" width="17" style="172" customWidth="1"/>
    <col min="264" max="264" width="15.5703125" style="172" customWidth="1"/>
    <col min="265" max="265" width="14.140625" style="172" customWidth="1"/>
    <col min="266" max="266" width="1.7109375" style="172" customWidth="1"/>
    <col min="267" max="267" width="13.7109375" style="172" customWidth="1"/>
    <col min="268" max="268" width="13.85546875" style="172" bestFit="1" customWidth="1"/>
    <col min="269" max="269" width="2.5703125" style="172" customWidth="1"/>
    <col min="270" max="270" width="12.42578125" style="172" customWidth="1"/>
    <col min="271" max="271" width="13.5703125" style="172" customWidth="1"/>
    <col min="272" max="272" width="2.5703125" style="172" customWidth="1"/>
    <col min="273" max="273" width="12.42578125" style="172" customWidth="1"/>
    <col min="274" max="274" width="13.5703125" style="172" customWidth="1"/>
    <col min="275" max="275" width="2.5703125" style="172" customWidth="1"/>
    <col min="276" max="276" width="11.5703125" style="172" customWidth="1"/>
    <col min="277" max="277" width="13" style="172" customWidth="1"/>
    <col min="278" max="278" width="1.42578125" style="172" customWidth="1"/>
    <col min="279" max="279" width="10.5703125" style="172" customWidth="1"/>
    <col min="280" max="511" width="11" style="172"/>
    <col min="512" max="512" width="1.5703125" style="172" customWidth="1"/>
    <col min="513" max="513" width="8.5703125" style="172" customWidth="1"/>
    <col min="514" max="514" width="28.7109375" style="172" customWidth="1"/>
    <col min="515" max="515" width="26.5703125" style="172" customWidth="1"/>
    <col min="516" max="516" width="7.7109375" style="172" customWidth="1"/>
    <col min="517" max="517" width="19.42578125" style="172" customWidth="1"/>
    <col min="518" max="518" width="44.28515625" style="172" customWidth="1"/>
    <col min="519" max="519" width="17" style="172" customWidth="1"/>
    <col min="520" max="520" width="15.5703125" style="172" customWidth="1"/>
    <col min="521" max="521" width="14.140625" style="172" customWidth="1"/>
    <col min="522" max="522" width="1.7109375" style="172" customWidth="1"/>
    <col min="523" max="523" width="13.7109375" style="172" customWidth="1"/>
    <col min="524" max="524" width="13.85546875" style="172" bestFit="1" customWidth="1"/>
    <col min="525" max="525" width="2.5703125" style="172" customWidth="1"/>
    <col min="526" max="526" width="12.42578125" style="172" customWidth="1"/>
    <col min="527" max="527" width="13.5703125" style="172" customWidth="1"/>
    <col min="528" max="528" width="2.5703125" style="172" customWidth="1"/>
    <col min="529" max="529" width="12.42578125" style="172" customWidth="1"/>
    <col min="530" max="530" width="13.5703125" style="172" customWidth="1"/>
    <col min="531" max="531" width="2.5703125" style="172" customWidth="1"/>
    <col min="532" max="532" width="11.5703125" style="172" customWidth="1"/>
    <col min="533" max="533" width="13" style="172" customWidth="1"/>
    <col min="534" max="534" width="1.42578125" style="172" customWidth="1"/>
    <col min="535" max="535" width="10.5703125" style="172" customWidth="1"/>
    <col min="536" max="767" width="11" style="172"/>
    <col min="768" max="768" width="1.5703125" style="172" customWidth="1"/>
    <col min="769" max="769" width="8.5703125" style="172" customWidth="1"/>
    <col min="770" max="770" width="28.7109375" style="172" customWidth="1"/>
    <col min="771" max="771" width="26.5703125" style="172" customWidth="1"/>
    <col min="772" max="772" width="7.7109375" style="172" customWidth="1"/>
    <col min="773" max="773" width="19.42578125" style="172" customWidth="1"/>
    <col min="774" max="774" width="44.28515625" style="172" customWidth="1"/>
    <col min="775" max="775" width="17" style="172" customWidth="1"/>
    <col min="776" max="776" width="15.5703125" style="172" customWidth="1"/>
    <col min="777" max="777" width="14.140625" style="172" customWidth="1"/>
    <col min="778" max="778" width="1.7109375" style="172" customWidth="1"/>
    <col min="779" max="779" width="13.7109375" style="172" customWidth="1"/>
    <col min="780" max="780" width="13.85546875" style="172" bestFit="1" customWidth="1"/>
    <col min="781" max="781" width="2.5703125" style="172" customWidth="1"/>
    <col min="782" max="782" width="12.42578125" style="172" customWidth="1"/>
    <col min="783" max="783" width="13.5703125" style="172" customWidth="1"/>
    <col min="784" max="784" width="2.5703125" style="172" customWidth="1"/>
    <col min="785" max="785" width="12.42578125" style="172" customWidth="1"/>
    <col min="786" max="786" width="13.5703125" style="172" customWidth="1"/>
    <col min="787" max="787" width="2.5703125" style="172" customWidth="1"/>
    <col min="788" max="788" width="11.5703125" style="172" customWidth="1"/>
    <col min="789" max="789" width="13" style="172" customWidth="1"/>
    <col min="790" max="790" width="1.42578125" style="172" customWidth="1"/>
    <col min="791" max="791" width="10.5703125" style="172" customWidth="1"/>
    <col min="792" max="1023" width="11" style="172"/>
    <col min="1024" max="1024" width="1.5703125" style="172" customWidth="1"/>
    <col min="1025" max="1025" width="8.5703125" style="172" customWidth="1"/>
    <col min="1026" max="1026" width="28.7109375" style="172" customWidth="1"/>
    <col min="1027" max="1027" width="26.5703125" style="172" customWidth="1"/>
    <col min="1028" max="1028" width="7.7109375" style="172" customWidth="1"/>
    <col min="1029" max="1029" width="19.42578125" style="172" customWidth="1"/>
    <col min="1030" max="1030" width="44.28515625" style="172" customWidth="1"/>
    <col min="1031" max="1031" width="17" style="172" customWidth="1"/>
    <col min="1032" max="1032" width="15.5703125" style="172" customWidth="1"/>
    <col min="1033" max="1033" width="14.140625" style="172" customWidth="1"/>
    <col min="1034" max="1034" width="1.7109375" style="172" customWidth="1"/>
    <col min="1035" max="1035" width="13.7109375" style="172" customWidth="1"/>
    <col min="1036" max="1036" width="13.85546875" style="172" bestFit="1" customWidth="1"/>
    <col min="1037" max="1037" width="2.5703125" style="172" customWidth="1"/>
    <col min="1038" max="1038" width="12.42578125" style="172" customWidth="1"/>
    <col min="1039" max="1039" width="13.5703125" style="172" customWidth="1"/>
    <col min="1040" max="1040" width="2.5703125" style="172" customWidth="1"/>
    <col min="1041" max="1041" width="12.42578125" style="172" customWidth="1"/>
    <col min="1042" max="1042" width="13.5703125" style="172" customWidth="1"/>
    <col min="1043" max="1043" width="2.5703125" style="172" customWidth="1"/>
    <col min="1044" max="1044" width="11.5703125" style="172" customWidth="1"/>
    <col min="1045" max="1045" width="13" style="172" customWidth="1"/>
    <col min="1046" max="1046" width="1.42578125" style="172" customWidth="1"/>
    <col min="1047" max="1047" width="10.5703125" style="172" customWidth="1"/>
    <col min="1048" max="1279" width="11" style="172"/>
    <col min="1280" max="1280" width="1.5703125" style="172" customWidth="1"/>
    <col min="1281" max="1281" width="8.5703125" style="172" customWidth="1"/>
    <col min="1282" max="1282" width="28.7109375" style="172" customWidth="1"/>
    <col min="1283" max="1283" width="26.5703125" style="172" customWidth="1"/>
    <col min="1284" max="1284" width="7.7109375" style="172" customWidth="1"/>
    <col min="1285" max="1285" width="19.42578125" style="172" customWidth="1"/>
    <col min="1286" max="1286" width="44.28515625" style="172" customWidth="1"/>
    <col min="1287" max="1287" width="17" style="172" customWidth="1"/>
    <col min="1288" max="1288" width="15.5703125" style="172" customWidth="1"/>
    <col min="1289" max="1289" width="14.140625" style="172" customWidth="1"/>
    <col min="1290" max="1290" width="1.7109375" style="172" customWidth="1"/>
    <col min="1291" max="1291" width="13.7109375" style="172" customWidth="1"/>
    <col min="1292" max="1292" width="13.85546875" style="172" bestFit="1" customWidth="1"/>
    <col min="1293" max="1293" width="2.5703125" style="172" customWidth="1"/>
    <col min="1294" max="1294" width="12.42578125" style="172" customWidth="1"/>
    <col min="1295" max="1295" width="13.5703125" style="172" customWidth="1"/>
    <col min="1296" max="1296" width="2.5703125" style="172" customWidth="1"/>
    <col min="1297" max="1297" width="12.42578125" style="172" customWidth="1"/>
    <col min="1298" max="1298" width="13.5703125" style="172" customWidth="1"/>
    <col min="1299" max="1299" width="2.5703125" style="172" customWidth="1"/>
    <col min="1300" max="1300" width="11.5703125" style="172" customWidth="1"/>
    <col min="1301" max="1301" width="13" style="172" customWidth="1"/>
    <col min="1302" max="1302" width="1.42578125" style="172" customWidth="1"/>
    <col min="1303" max="1303" width="10.5703125" style="172" customWidth="1"/>
    <col min="1304" max="1535" width="11" style="172"/>
    <col min="1536" max="1536" width="1.5703125" style="172" customWidth="1"/>
    <col min="1537" max="1537" width="8.5703125" style="172" customWidth="1"/>
    <col min="1538" max="1538" width="28.7109375" style="172" customWidth="1"/>
    <col min="1539" max="1539" width="26.5703125" style="172" customWidth="1"/>
    <col min="1540" max="1540" width="7.7109375" style="172" customWidth="1"/>
    <col min="1541" max="1541" width="19.42578125" style="172" customWidth="1"/>
    <col min="1542" max="1542" width="44.28515625" style="172" customWidth="1"/>
    <col min="1543" max="1543" width="17" style="172" customWidth="1"/>
    <col min="1544" max="1544" width="15.5703125" style="172" customWidth="1"/>
    <col min="1545" max="1545" width="14.140625" style="172" customWidth="1"/>
    <col min="1546" max="1546" width="1.7109375" style="172" customWidth="1"/>
    <col min="1547" max="1547" width="13.7109375" style="172" customWidth="1"/>
    <col min="1548" max="1548" width="13.85546875" style="172" bestFit="1" customWidth="1"/>
    <col min="1549" max="1549" width="2.5703125" style="172" customWidth="1"/>
    <col min="1550" max="1550" width="12.42578125" style="172" customWidth="1"/>
    <col min="1551" max="1551" width="13.5703125" style="172" customWidth="1"/>
    <col min="1552" max="1552" width="2.5703125" style="172" customWidth="1"/>
    <col min="1553" max="1553" width="12.42578125" style="172" customWidth="1"/>
    <col min="1554" max="1554" width="13.5703125" style="172" customWidth="1"/>
    <col min="1555" max="1555" width="2.5703125" style="172" customWidth="1"/>
    <col min="1556" max="1556" width="11.5703125" style="172" customWidth="1"/>
    <col min="1557" max="1557" width="13" style="172" customWidth="1"/>
    <col min="1558" max="1558" width="1.42578125" style="172" customWidth="1"/>
    <col min="1559" max="1559" width="10.5703125" style="172" customWidth="1"/>
    <col min="1560" max="1791" width="11" style="172"/>
    <col min="1792" max="1792" width="1.5703125" style="172" customWidth="1"/>
    <col min="1793" max="1793" width="8.5703125" style="172" customWidth="1"/>
    <col min="1794" max="1794" width="28.7109375" style="172" customWidth="1"/>
    <col min="1795" max="1795" width="26.5703125" style="172" customWidth="1"/>
    <col min="1796" max="1796" width="7.7109375" style="172" customWidth="1"/>
    <col min="1797" max="1797" width="19.42578125" style="172" customWidth="1"/>
    <col min="1798" max="1798" width="44.28515625" style="172" customWidth="1"/>
    <col min="1799" max="1799" width="17" style="172" customWidth="1"/>
    <col min="1800" max="1800" width="15.5703125" style="172" customWidth="1"/>
    <col min="1801" max="1801" width="14.140625" style="172" customWidth="1"/>
    <col min="1802" max="1802" width="1.7109375" style="172" customWidth="1"/>
    <col min="1803" max="1803" width="13.7109375" style="172" customWidth="1"/>
    <col min="1804" max="1804" width="13.85546875" style="172" bestFit="1" customWidth="1"/>
    <col min="1805" max="1805" width="2.5703125" style="172" customWidth="1"/>
    <col min="1806" max="1806" width="12.42578125" style="172" customWidth="1"/>
    <col min="1807" max="1807" width="13.5703125" style="172" customWidth="1"/>
    <col min="1808" max="1808" width="2.5703125" style="172" customWidth="1"/>
    <col min="1809" max="1809" width="12.42578125" style="172" customWidth="1"/>
    <col min="1810" max="1810" width="13.5703125" style="172" customWidth="1"/>
    <col min="1811" max="1811" width="2.5703125" style="172" customWidth="1"/>
    <col min="1812" max="1812" width="11.5703125" style="172" customWidth="1"/>
    <col min="1813" max="1813" width="13" style="172" customWidth="1"/>
    <col min="1814" max="1814" width="1.42578125" style="172" customWidth="1"/>
    <col min="1815" max="1815" width="10.5703125" style="172" customWidth="1"/>
    <col min="1816" max="2047" width="11" style="172"/>
    <col min="2048" max="2048" width="1.5703125" style="172" customWidth="1"/>
    <col min="2049" max="2049" width="8.5703125" style="172" customWidth="1"/>
    <col min="2050" max="2050" width="28.7109375" style="172" customWidth="1"/>
    <col min="2051" max="2051" width="26.5703125" style="172" customWidth="1"/>
    <col min="2052" max="2052" width="7.7109375" style="172" customWidth="1"/>
    <col min="2053" max="2053" width="19.42578125" style="172" customWidth="1"/>
    <col min="2054" max="2054" width="44.28515625" style="172" customWidth="1"/>
    <col min="2055" max="2055" width="17" style="172" customWidth="1"/>
    <col min="2056" max="2056" width="15.5703125" style="172" customWidth="1"/>
    <col min="2057" max="2057" width="14.140625" style="172" customWidth="1"/>
    <col min="2058" max="2058" width="1.7109375" style="172" customWidth="1"/>
    <col min="2059" max="2059" width="13.7109375" style="172" customWidth="1"/>
    <col min="2060" max="2060" width="13.85546875" style="172" bestFit="1" customWidth="1"/>
    <col min="2061" max="2061" width="2.5703125" style="172" customWidth="1"/>
    <col min="2062" max="2062" width="12.42578125" style="172" customWidth="1"/>
    <col min="2063" max="2063" width="13.5703125" style="172" customWidth="1"/>
    <col min="2064" max="2064" width="2.5703125" style="172" customWidth="1"/>
    <col min="2065" max="2065" width="12.42578125" style="172" customWidth="1"/>
    <col min="2066" max="2066" width="13.5703125" style="172" customWidth="1"/>
    <col min="2067" max="2067" width="2.5703125" style="172" customWidth="1"/>
    <col min="2068" max="2068" width="11.5703125" style="172" customWidth="1"/>
    <col min="2069" max="2069" width="13" style="172" customWidth="1"/>
    <col min="2070" max="2070" width="1.42578125" style="172" customWidth="1"/>
    <col min="2071" max="2071" width="10.5703125" style="172" customWidth="1"/>
    <col min="2072" max="2303" width="11" style="172"/>
    <col min="2304" max="2304" width="1.5703125" style="172" customWidth="1"/>
    <col min="2305" max="2305" width="8.5703125" style="172" customWidth="1"/>
    <col min="2306" max="2306" width="28.7109375" style="172" customWidth="1"/>
    <col min="2307" max="2307" width="26.5703125" style="172" customWidth="1"/>
    <col min="2308" max="2308" width="7.7109375" style="172" customWidth="1"/>
    <col min="2309" max="2309" width="19.42578125" style="172" customWidth="1"/>
    <col min="2310" max="2310" width="44.28515625" style="172" customWidth="1"/>
    <col min="2311" max="2311" width="17" style="172" customWidth="1"/>
    <col min="2312" max="2312" width="15.5703125" style="172" customWidth="1"/>
    <col min="2313" max="2313" width="14.140625" style="172" customWidth="1"/>
    <col min="2314" max="2314" width="1.7109375" style="172" customWidth="1"/>
    <col min="2315" max="2315" width="13.7109375" style="172" customWidth="1"/>
    <col min="2316" max="2316" width="13.85546875" style="172" bestFit="1" customWidth="1"/>
    <col min="2317" max="2317" width="2.5703125" style="172" customWidth="1"/>
    <col min="2318" max="2318" width="12.42578125" style="172" customWidth="1"/>
    <col min="2319" max="2319" width="13.5703125" style="172" customWidth="1"/>
    <col min="2320" max="2320" width="2.5703125" style="172" customWidth="1"/>
    <col min="2321" max="2321" width="12.42578125" style="172" customWidth="1"/>
    <col min="2322" max="2322" width="13.5703125" style="172" customWidth="1"/>
    <col min="2323" max="2323" width="2.5703125" style="172" customWidth="1"/>
    <col min="2324" max="2324" width="11.5703125" style="172" customWidth="1"/>
    <col min="2325" max="2325" width="13" style="172" customWidth="1"/>
    <col min="2326" max="2326" width="1.42578125" style="172" customWidth="1"/>
    <col min="2327" max="2327" width="10.5703125" style="172" customWidth="1"/>
    <col min="2328" max="2559" width="11" style="172"/>
    <col min="2560" max="2560" width="1.5703125" style="172" customWidth="1"/>
    <col min="2561" max="2561" width="8.5703125" style="172" customWidth="1"/>
    <col min="2562" max="2562" width="28.7109375" style="172" customWidth="1"/>
    <col min="2563" max="2563" width="26.5703125" style="172" customWidth="1"/>
    <col min="2564" max="2564" width="7.7109375" style="172" customWidth="1"/>
    <col min="2565" max="2565" width="19.42578125" style="172" customWidth="1"/>
    <col min="2566" max="2566" width="44.28515625" style="172" customWidth="1"/>
    <col min="2567" max="2567" width="17" style="172" customWidth="1"/>
    <col min="2568" max="2568" width="15.5703125" style="172" customWidth="1"/>
    <col min="2569" max="2569" width="14.140625" style="172" customWidth="1"/>
    <col min="2570" max="2570" width="1.7109375" style="172" customWidth="1"/>
    <col min="2571" max="2571" width="13.7109375" style="172" customWidth="1"/>
    <col min="2572" max="2572" width="13.85546875" style="172" bestFit="1" customWidth="1"/>
    <col min="2573" max="2573" width="2.5703125" style="172" customWidth="1"/>
    <col min="2574" max="2574" width="12.42578125" style="172" customWidth="1"/>
    <col min="2575" max="2575" width="13.5703125" style="172" customWidth="1"/>
    <col min="2576" max="2576" width="2.5703125" style="172" customWidth="1"/>
    <col min="2577" max="2577" width="12.42578125" style="172" customWidth="1"/>
    <col min="2578" max="2578" width="13.5703125" style="172" customWidth="1"/>
    <col min="2579" max="2579" width="2.5703125" style="172" customWidth="1"/>
    <col min="2580" max="2580" width="11.5703125" style="172" customWidth="1"/>
    <col min="2581" max="2581" width="13" style="172" customWidth="1"/>
    <col min="2582" max="2582" width="1.42578125" style="172" customWidth="1"/>
    <col min="2583" max="2583" width="10.5703125" style="172" customWidth="1"/>
    <col min="2584" max="2815" width="11" style="172"/>
    <col min="2816" max="2816" width="1.5703125" style="172" customWidth="1"/>
    <col min="2817" max="2817" width="8.5703125" style="172" customWidth="1"/>
    <col min="2818" max="2818" width="28.7109375" style="172" customWidth="1"/>
    <col min="2819" max="2819" width="26.5703125" style="172" customWidth="1"/>
    <col min="2820" max="2820" width="7.7109375" style="172" customWidth="1"/>
    <col min="2821" max="2821" width="19.42578125" style="172" customWidth="1"/>
    <col min="2822" max="2822" width="44.28515625" style="172" customWidth="1"/>
    <col min="2823" max="2823" width="17" style="172" customWidth="1"/>
    <col min="2824" max="2824" width="15.5703125" style="172" customWidth="1"/>
    <col min="2825" max="2825" width="14.140625" style="172" customWidth="1"/>
    <col min="2826" max="2826" width="1.7109375" style="172" customWidth="1"/>
    <col min="2827" max="2827" width="13.7109375" style="172" customWidth="1"/>
    <col min="2828" max="2828" width="13.85546875" style="172" bestFit="1" customWidth="1"/>
    <col min="2829" max="2829" width="2.5703125" style="172" customWidth="1"/>
    <col min="2830" max="2830" width="12.42578125" style="172" customWidth="1"/>
    <col min="2831" max="2831" width="13.5703125" style="172" customWidth="1"/>
    <col min="2832" max="2832" width="2.5703125" style="172" customWidth="1"/>
    <col min="2833" max="2833" width="12.42578125" style="172" customWidth="1"/>
    <col min="2834" max="2834" width="13.5703125" style="172" customWidth="1"/>
    <col min="2835" max="2835" width="2.5703125" style="172" customWidth="1"/>
    <col min="2836" max="2836" width="11.5703125" style="172" customWidth="1"/>
    <col min="2837" max="2837" width="13" style="172" customWidth="1"/>
    <col min="2838" max="2838" width="1.42578125" style="172" customWidth="1"/>
    <col min="2839" max="2839" width="10.5703125" style="172" customWidth="1"/>
    <col min="2840" max="3071" width="11" style="172"/>
    <col min="3072" max="3072" width="1.5703125" style="172" customWidth="1"/>
    <col min="3073" max="3073" width="8.5703125" style="172" customWidth="1"/>
    <col min="3074" max="3074" width="28.7109375" style="172" customWidth="1"/>
    <col min="3075" max="3075" width="26.5703125" style="172" customWidth="1"/>
    <col min="3076" max="3076" width="7.7109375" style="172" customWidth="1"/>
    <col min="3077" max="3077" width="19.42578125" style="172" customWidth="1"/>
    <col min="3078" max="3078" width="44.28515625" style="172" customWidth="1"/>
    <col min="3079" max="3079" width="17" style="172" customWidth="1"/>
    <col min="3080" max="3080" width="15.5703125" style="172" customWidth="1"/>
    <col min="3081" max="3081" width="14.140625" style="172" customWidth="1"/>
    <col min="3082" max="3082" width="1.7109375" style="172" customWidth="1"/>
    <col min="3083" max="3083" width="13.7109375" style="172" customWidth="1"/>
    <col min="3084" max="3084" width="13.85546875" style="172" bestFit="1" customWidth="1"/>
    <col min="3085" max="3085" width="2.5703125" style="172" customWidth="1"/>
    <col min="3086" max="3086" width="12.42578125" style="172" customWidth="1"/>
    <col min="3087" max="3087" width="13.5703125" style="172" customWidth="1"/>
    <col min="3088" max="3088" width="2.5703125" style="172" customWidth="1"/>
    <col min="3089" max="3089" width="12.42578125" style="172" customWidth="1"/>
    <col min="3090" max="3090" width="13.5703125" style="172" customWidth="1"/>
    <col min="3091" max="3091" width="2.5703125" style="172" customWidth="1"/>
    <col min="3092" max="3092" width="11.5703125" style="172" customWidth="1"/>
    <col min="3093" max="3093" width="13" style="172" customWidth="1"/>
    <col min="3094" max="3094" width="1.42578125" style="172" customWidth="1"/>
    <col min="3095" max="3095" width="10.5703125" style="172" customWidth="1"/>
    <col min="3096" max="3327" width="11" style="172"/>
    <col min="3328" max="3328" width="1.5703125" style="172" customWidth="1"/>
    <col min="3329" max="3329" width="8.5703125" style="172" customWidth="1"/>
    <col min="3330" max="3330" width="28.7109375" style="172" customWidth="1"/>
    <col min="3331" max="3331" width="26.5703125" style="172" customWidth="1"/>
    <col min="3332" max="3332" width="7.7109375" style="172" customWidth="1"/>
    <col min="3333" max="3333" width="19.42578125" style="172" customWidth="1"/>
    <col min="3334" max="3334" width="44.28515625" style="172" customWidth="1"/>
    <col min="3335" max="3335" width="17" style="172" customWidth="1"/>
    <col min="3336" max="3336" width="15.5703125" style="172" customWidth="1"/>
    <col min="3337" max="3337" width="14.140625" style="172" customWidth="1"/>
    <col min="3338" max="3338" width="1.7109375" style="172" customWidth="1"/>
    <col min="3339" max="3339" width="13.7109375" style="172" customWidth="1"/>
    <col min="3340" max="3340" width="13.85546875" style="172" bestFit="1" customWidth="1"/>
    <col min="3341" max="3341" width="2.5703125" style="172" customWidth="1"/>
    <col min="3342" max="3342" width="12.42578125" style="172" customWidth="1"/>
    <col min="3343" max="3343" width="13.5703125" style="172" customWidth="1"/>
    <col min="3344" max="3344" width="2.5703125" style="172" customWidth="1"/>
    <col min="3345" max="3345" width="12.42578125" style="172" customWidth="1"/>
    <col min="3346" max="3346" width="13.5703125" style="172" customWidth="1"/>
    <col min="3347" max="3347" width="2.5703125" style="172" customWidth="1"/>
    <col min="3348" max="3348" width="11.5703125" style="172" customWidth="1"/>
    <col min="3349" max="3349" width="13" style="172" customWidth="1"/>
    <col min="3350" max="3350" width="1.42578125" style="172" customWidth="1"/>
    <col min="3351" max="3351" width="10.5703125" style="172" customWidth="1"/>
    <col min="3352" max="3583" width="11" style="172"/>
    <col min="3584" max="3584" width="1.5703125" style="172" customWidth="1"/>
    <col min="3585" max="3585" width="8.5703125" style="172" customWidth="1"/>
    <col min="3586" max="3586" width="28.7109375" style="172" customWidth="1"/>
    <col min="3587" max="3587" width="26.5703125" style="172" customWidth="1"/>
    <col min="3588" max="3588" width="7.7109375" style="172" customWidth="1"/>
    <col min="3589" max="3589" width="19.42578125" style="172" customWidth="1"/>
    <col min="3590" max="3590" width="44.28515625" style="172" customWidth="1"/>
    <col min="3591" max="3591" width="17" style="172" customWidth="1"/>
    <col min="3592" max="3592" width="15.5703125" style="172" customWidth="1"/>
    <col min="3593" max="3593" width="14.140625" style="172" customWidth="1"/>
    <col min="3594" max="3594" width="1.7109375" style="172" customWidth="1"/>
    <col min="3595" max="3595" width="13.7109375" style="172" customWidth="1"/>
    <col min="3596" max="3596" width="13.85546875" style="172" bestFit="1" customWidth="1"/>
    <col min="3597" max="3597" width="2.5703125" style="172" customWidth="1"/>
    <col min="3598" max="3598" width="12.42578125" style="172" customWidth="1"/>
    <col min="3599" max="3599" width="13.5703125" style="172" customWidth="1"/>
    <col min="3600" max="3600" width="2.5703125" style="172" customWidth="1"/>
    <col min="3601" max="3601" width="12.42578125" style="172" customWidth="1"/>
    <col min="3602" max="3602" width="13.5703125" style="172" customWidth="1"/>
    <col min="3603" max="3603" width="2.5703125" style="172" customWidth="1"/>
    <col min="3604" max="3604" width="11.5703125" style="172" customWidth="1"/>
    <col min="3605" max="3605" width="13" style="172" customWidth="1"/>
    <col min="3606" max="3606" width="1.42578125" style="172" customWidth="1"/>
    <col min="3607" max="3607" width="10.5703125" style="172" customWidth="1"/>
    <col min="3608" max="3839" width="11" style="172"/>
    <col min="3840" max="3840" width="1.5703125" style="172" customWidth="1"/>
    <col min="3841" max="3841" width="8.5703125" style="172" customWidth="1"/>
    <col min="3842" max="3842" width="28.7109375" style="172" customWidth="1"/>
    <col min="3843" max="3843" width="26.5703125" style="172" customWidth="1"/>
    <col min="3844" max="3844" width="7.7109375" style="172" customWidth="1"/>
    <col min="3845" max="3845" width="19.42578125" style="172" customWidth="1"/>
    <col min="3846" max="3846" width="44.28515625" style="172" customWidth="1"/>
    <col min="3847" max="3847" width="17" style="172" customWidth="1"/>
    <col min="3848" max="3848" width="15.5703125" style="172" customWidth="1"/>
    <col min="3849" max="3849" width="14.140625" style="172" customWidth="1"/>
    <col min="3850" max="3850" width="1.7109375" style="172" customWidth="1"/>
    <col min="3851" max="3851" width="13.7109375" style="172" customWidth="1"/>
    <col min="3852" max="3852" width="13.85546875" style="172" bestFit="1" customWidth="1"/>
    <col min="3853" max="3853" width="2.5703125" style="172" customWidth="1"/>
    <col min="3854" max="3854" width="12.42578125" style="172" customWidth="1"/>
    <col min="3855" max="3855" width="13.5703125" style="172" customWidth="1"/>
    <col min="3856" max="3856" width="2.5703125" style="172" customWidth="1"/>
    <col min="3857" max="3857" width="12.42578125" style="172" customWidth="1"/>
    <col min="3858" max="3858" width="13.5703125" style="172" customWidth="1"/>
    <col min="3859" max="3859" width="2.5703125" style="172" customWidth="1"/>
    <col min="3860" max="3860" width="11.5703125" style="172" customWidth="1"/>
    <col min="3861" max="3861" width="13" style="172" customWidth="1"/>
    <col min="3862" max="3862" width="1.42578125" style="172" customWidth="1"/>
    <col min="3863" max="3863" width="10.5703125" style="172" customWidth="1"/>
    <col min="3864" max="4095" width="11" style="172"/>
    <col min="4096" max="4096" width="1.5703125" style="172" customWidth="1"/>
    <col min="4097" max="4097" width="8.5703125" style="172" customWidth="1"/>
    <col min="4098" max="4098" width="28.7109375" style="172" customWidth="1"/>
    <col min="4099" max="4099" width="26.5703125" style="172" customWidth="1"/>
    <col min="4100" max="4100" width="7.7109375" style="172" customWidth="1"/>
    <col min="4101" max="4101" width="19.42578125" style="172" customWidth="1"/>
    <col min="4102" max="4102" width="44.28515625" style="172" customWidth="1"/>
    <col min="4103" max="4103" width="17" style="172" customWidth="1"/>
    <col min="4104" max="4104" width="15.5703125" style="172" customWidth="1"/>
    <col min="4105" max="4105" width="14.140625" style="172" customWidth="1"/>
    <col min="4106" max="4106" width="1.7109375" style="172" customWidth="1"/>
    <col min="4107" max="4107" width="13.7109375" style="172" customWidth="1"/>
    <col min="4108" max="4108" width="13.85546875" style="172" bestFit="1" customWidth="1"/>
    <col min="4109" max="4109" width="2.5703125" style="172" customWidth="1"/>
    <col min="4110" max="4110" width="12.42578125" style="172" customWidth="1"/>
    <col min="4111" max="4111" width="13.5703125" style="172" customWidth="1"/>
    <col min="4112" max="4112" width="2.5703125" style="172" customWidth="1"/>
    <col min="4113" max="4113" width="12.42578125" style="172" customWidth="1"/>
    <col min="4114" max="4114" width="13.5703125" style="172" customWidth="1"/>
    <col min="4115" max="4115" width="2.5703125" style="172" customWidth="1"/>
    <col min="4116" max="4116" width="11.5703125" style="172" customWidth="1"/>
    <col min="4117" max="4117" width="13" style="172" customWidth="1"/>
    <col min="4118" max="4118" width="1.42578125" style="172" customWidth="1"/>
    <col min="4119" max="4119" width="10.5703125" style="172" customWidth="1"/>
    <col min="4120" max="4351" width="11" style="172"/>
    <col min="4352" max="4352" width="1.5703125" style="172" customWidth="1"/>
    <col min="4353" max="4353" width="8.5703125" style="172" customWidth="1"/>
    <col min="4354" max="4354" width="28.7109375" style="172" customWidth="1"/>
    <col min="4355" max="4355" width="26.5703125" style="172" customWidth="1"/>
    <col min="4356" max="4356" width="7.7109375" style="172" customWidth="1"/>
    <col min="4357" max="4357" width="19.42578125" style="172" customWidth="1"/>
    <col min="4358" max="4358" width="44.28515625" style="172" customWidth="1"/>
    <col min="4359" max="4359" width="17" style="172" customWidth="1"/>
    <col min="4360" max="4360" width="15.5703125" style="172" customWidth="1"/>
    <col min="4361" max="4361" width="14.140625" style="172" customWidth="1"/>
    <col min="4362" max="4362" width="1.7109375" style="172" customWidth="1"/>
    <col min="4363" max="4363" width="13.7109375" style="172" customWidth="1"/>
    <col min="4364" max="4364" width="13.85546875" style="172" bestFit="1" customWidth="1"/>
    <col min="4365" max="4365" width="2.5703125" style="172" customWidth="1"/>
    <col min="4366" max="4366" width="12.42578125" style="172" customWidth="1"/>
    <col min="4367" max="4367" width="13.5703125" style="172" customWidth="1"/>
    <col min="4368" max="4368" width="2.5703125" style="172" customWidth="1"/>
    <col min="4369" max="4369" width="12.42578125" style="172" customWidth="1"/>
    <col min="4370" max="4370" width="13.5703125" style="172" customWidth="1"/>
    <col min="4371" max="4371" width="2.5703125" style="172" customWidth="1"/>
    <col min="4372" max="4372" width="11.5703125" style="172" customWidth="1"/>
    <col min="4373" max="4373" width="13" style="172" customWidth="1"/>
    <col min="4374" max="4374" width="1.42578125" style="172" customWidth="1"/>
    <col min="4375" max="4375" width="10.5703125" style="172" customWidth="1"/>
    <col min="4376" max="4607" width="11" style="172"/>
    <col min="4608" max="4608" width="1.5703125" style="172" customWidth="1"/>
    <col min="4609" max="4609" width="8.5703125" style="172" customWidth="1"/>
    <col min="4610" max="4610" width="28.7109375" style="172" customWidth="1"/>
    <col min="4611" max="4611" width="26.5703125" style="172" customWidth="1"/>
    <col min="4612" max="4612" width="7.7109375" style="172" customWidth="1"/>
    <col min="4613" max="4613" width="19.42578125" style="172" customWidth="1"/>
    <col min="4614" max="4614" width="44.28515625" style="172" customWidth="1"/>
    <col min="4615" max="4615" width="17" style="172" customWidth="1"/>
    <col min="4616" max="4616" width="15.5703125" style="172" customWidth="1"/>
    <col min="4617" max="4617" width="14.140625" style="172" customWidth="1"/>
    <col min="4618" max="4618" width="1.7109375" style="172" customWidth="1"/>
    <col min="4619" max="4619" width="13.7109375" style="172" customWidth="1"/>
    <col min="4620" max="4620" width="13.85546875" style="172" bestFit="1" customWidth="1"/>
    <col min="4621" max="4621" width="2.5703125" style="172" customWidth="1"/>
    <col min="4622" max="4622" width="12.42578125" style="172" customWidth="1"/>
    <col min="4623" max="4623" width="13.5703125" style="172" customWidth="1"/>
    <col min="4624" max="4624" width="2.5703125" style="172" customWidth="1"/>
    <col min="4625" max="4625" width="12.42578125" style="172" customWidth="1"/>
    <col min="4626" max="4626" width="13.5703125" style="172" customWidth="1"/>
    <col min="4627" max="4627" width="2.5703125" style="172" customWidth="1"/>
    <col min="4628" max="4628" width="11.5703125" style="172" customWidth="1"/>
    <col min="4629" max="4629" width="13" style="172" customWidth="1"/>
    <col min="4630" max="4630" width="1.42578125" style="172" customWidth="1"/>
    <col min="4631" max="4631" width="10.5703125" style="172" customWidth="1"/>
    <col min="4632" max="4863" width="11" style="172"/>
    <col min="4864" max="4864" width="1.5703125" style="172" customWidth="1"/>
    <col min="4865" max="4865" width="8.5703125" style="172" customWidth="1"/>
    <col min="4866" max="4866" width="28.7109375" style="172" customWidth="1"/>
    <col min="4867" max="4867" width="26.5703125" style="172" customWidth="1"/>
    <col min="4868" max="4868" width="7.7109375" style="172" customWidth="1"/>
    <col min="4869" max="4869" width="19.42578125" style="172" customWidth="1"/>
    <col min="4870" max="4870" width="44.28515625" style="172" customWidth="1"/>
    <col min="4871" max="4871" width="17" style="172" customWidth="1"/>
    <col min="4872" max="4872" width="15.5703125" style="172" customWidth="1"/>
    <col min="4873" max="4873" width="14.140625" style="172" customWidth="1"/>
    <col min="4874" max="4874" width="1.7109375" style="172" customWidth="1"/>
    <col min="4875" max="4875" width="13.7109375" style="172" customWidth="1"/>
    <col min="4876" max="4876" width="13.85546875" style="172" bestFit="1" customWidth="1"/>
    <col min="4877" max="4877" width="2.5703125" style="172" customWidth="1"/>
    <col min="4878" max="4878" width="12.42578125" style="172" customWidth="1"/>
    <col min="4879" max="4879" width="13.5703125" style="172" customWidth="1"/>
    <col min="4880" max="4880" width="2.5703125" style="172" customWidth="1"/>
    <col min="4881" max="4881" width="12.42578125" style="172" customWidth="1"/>
    <col min="4882" max="4882" width="13.5703125" style="172" customWidth="1"/>
    <col min="4883" max="4883" width="2.5703125" style="172" customWidth="1"/>
    <col min="4884" max="4884" width="11.5703125" style="172" customWidth="1"/>
    <col min="4885" max="4885" width="13" style="172" customWidth="1"/>
    <col min="4886" max="4886" width="1.42578125" style="172" customWidth="1"/>
    <col min="4887" max="4887" width="10.5703125" style="172" customWidth="1"/>
    <col min="4888" max="5119" width="11" style="172"/>
    <col min="5120" max="5120" width="1.5703125" style="172" customWidth="1"/>
    <col min="5121" max="5121" width="8.5703125" style="172" customWidth="1"/>
    <col min="5122" max="5122" width="28.7109375" style="172" customWidth="1"/>
    <col min="5123" max="5123" width="26.5703125" style="172" customWidth="1"/>
    <col min="5124" max="5124" width="7.7109375" style="172" customWidth="1"/>
    <col min="5125" max="5125" width="19.42578125" style="172" customWidth="1"/>
    <col min="5126" max="5126" width="44.28515625" style="172" customWidth="1"/>
    <col min="5127" max="5127" width="17" style="172" customWidth="1"/>
    <col min="5128" max="5128" width="15.5703125" style="172" customWidth="1"/>
    <col min="5129" max="5129" width="14.140625" style="172" customWidth="1"/>
    <col min="5130" max="5130" width="1.7109375" style="172" customWidth="1"/>
    <col min="5131" max="5131" width="13.7109375" style="172" customWidth="1"/>
    <col min="5132" max="5132" width="13.85546875" style="172" bestFit="1" customWidth="1"/>
    <col min="5133" max="5133" width="2.5703125" style="172" customWidth="1"/>
    <col min="5134" max="5134" width="12.42578125" style="172" customWidth="1"/>
    <col min="5135" max="5135" width="13.5703125" style="172" customWidth="1"/>
    <col min="5136" max="5136" width="2.5703125" style="172" customWidth="1"/>
    <col min="5137" max="5137" width="12.42578125" style="172" customWidth="1"/>
    <col min="5138" max="5138" width="13.5703125" style="172" customWidth="1"/>
    <col min="5139" max="5139" width="2.5703125" style="172" customWidth="1"/>
    <col min="5140" max="5140" width="11.5703125" style="172" customWidth="1"/>
    <col min="5141" max="5141" width="13" style="172" customWidth="1"/>
    <col min="5142" max="5142" width="1.42578125" style="172" customWidth="1"/>
    <col min="5143" max="5143" width="10.5703125" style="172" customWidth="1"/>
    <col min="5144" max="5375" width="11" style="172"/>
    <col min="5376" max="5376" width="1.5703125" style="172" customWidth="1"/>
    <col min="5377" max="5377" width="8.5703125" style="172" customWidth="1"/>
    <col min="5378" max="5378" width="28.7109375" style="172" customWidth="1"/>
    <col min="5379" max="5379" width="26.5703125" style="172" customWidth="1"/>
    <col min="5380" max="5380" width="7.7109375" style="172" customWidth="1"/>
    <col min="5381" max="5381" width="19.42578125" style="172" customWidth="1"/>
    <col min="5382" max="5382" width="44.28515625" style="172" customWidth="1"/>
    <col min="5383" max="5383" width="17" style="172" customWidth="1"/>
    <col min="5384" max="5384" width="15.5703125" style="172" customWidth="1"/>
    <col min="5385" max="5385" width="14.140625" style="172" customWidth="1"/>
    <col min="5386" max="5386" width="1.7109375" style="172" customWidth="1"/>
    <col min="5387" max="5387" width="13.7109375" style="172" customWidth="1"/>
    <col min="5388" max="5388" width="13.85546875" style="172" bestFit="1" customWidth="1"/>
    <col min="5389" max="5389" width="2.5703125" style="172" customWidth="1"/>
    <col min="5390" max="5390" width="12.42578125" style="172" customWidth="1"/>
    <col min="5391" max="5391" width="13.5703125" style="172" customWidth="1"/>
    <col min="5392" max="5392" width="2.5703125" style="172" customWidth="1"/>
    <col min="5393" max="5393" width="12.42578125" style="172" customWidth="1"/>
    <col min="5394" max="5394" width="13.5703125" style="172" customWidth="1"/>
    <col min="5395" max="5395" width="2.5703125" style="172" customWidth="1"/>
    <col min="5396" max="5396" width="11.5703125" style="172" customWidth="1"/>
    <col min="5397" max="5397" width="13" style="172" customWidth="1"/>
    <col min="5398" max="5398" width="1.42578125" style="172" customWidth="1"/>
    <col min="5399" max="5399" width="10.5703125" style="172" customWidth="1"/>
    <col min="5400" max="5631" width="11" style="172"/>
    <col min="5632" max="5632" width="1.5703125" style="172" customWidth="1"/>
    <col min="5633" max="5633" width="8.5703125" style="172" customWidth="1"/>
    <col min="5634" max="5634" width="28.7109375" style="172" customWidth="1"/>
    <col min="5635" max="5635" width="26.5703125" style="172" customWidth="1"/>
    <col min="5636" max="5636" width="7.7109375" style="172" customWidth="1"/>
    <col min="5637" max="5637" width="19.42578125" style="172" customWidth="1"/>
    <col min="5638" max="5638" width="44.28515625" style="172" customWidth="1"/>
    <col min="5639" max="5639" width="17" style="172" customWidth="1"/>
    <col min="5640" max="5640" width="15.5703125" style="172" customWidth="1"/>
    <col min="5641" max="5641" width="14.140625" style="172" customWidth="1"/>
    <col min="5642" max="5642" width="1.7109375" style="172" customWidth="1"/>
    <col min="5643" max="5643" width="13.7109375" style="172" customWidth="1"/>
    <col min="5644" max="5644" width="13.85546875" style="172" bestFit="1" customWidth="1"/>
    <col min="5645" max="5645" width="2.5703125" style="172" customWidth="1"/>
    <col min="5646" max="5646" width="12.42578125" style="172" customWidth="1"/>
    <col min="5647" max="5647" width="13.5703125" style="172" customWidth="1"/>
    <col min="5648" max="5648" width="2.5703125" style="172" customWidth="1"/>
    <col min="5649" max="5649" width="12.42578125" style="172" customWidth="1"/>
    <col min="5650" max="5650" width="13.5703125" style="172" customWidth="1"/>
    <col min="5651" max="5651" width="2.5703125" style="172" customWidth="1"/>
    <col min="5652" max="5652" width="11.5703125" style="172" customWidth="1"/>
    <col min="5653" max="5653" width="13" style="172" customWidth="1"/>
    <col min="5654" max="5654" width="1.42578125" style="172" customWidth="1"/>
    <col min="5655" max="5655" width="10.5703125" style="172" customWidth="1"/>
    <col min="5656" max="5887" width="11" style="172"/>
    <col min="5888" max="5888" width="1.5703125" style="172" customWidth="1"/>
    <col min="5889" max="5889" width="8.5703125" style="172" customWidth="1"/>
    <col min="5890" max="5890" width="28.7109375" style="172" customWidth="1"/>
    <col min="5891" max="5891" width="26.5703125" style="172" customWidth="1"/>
    <col min="5892" max="5892" width="7.7109375" style="172" customWidth="1"/>
    <col min="5893" max="5893" width="19.42578125" style="172" customWidth="1"/>
    <col min="5894" max="5894" width="44.28515625" style="172" customWidth="1"/>
    <col min="5895" max="5895" width="17" style="172" customWidth="1"/>
    <col min="5896" max="5896" width="15.5703125" style="172" customWidth="1"/>
    <col min="5897" max="5897" width="14.140625" style="172" customWidth="1"/>
    <col min="5898" max="5898" width="1.7109375" style="172" customWidth="1"/>
    <col min="5899" max="5899" width="13.7109375" style="172" customWidth="1"/>
    <col min="5900" max="5900" width="13.85546875" style="172" bestFit="1" customWidth="1"/>
    <col min="5901" max="5901" width="2.5703125" style="172" customWidth="1"/>
    <col min="5902" max="5902" width="12.42578125" style="172" customWidth="1"/>
    <col min="5903" max="5903" width="13.5703125" style="172" customWidth="1"/>
    <col min="5904" max="5904" width="2.5703125" style="172" customWidth="1"/>
    <col min="5905" max="5905" width="12.42578125" style="172" customWidth="1"/>
    <col min="5906" max="5906" width="13.5703125" style="172" customWidth="1"/>
    <col min="5907" max="5907" width="2.5703125" style="172" customWidth="1"/>
    <col min="5908" max="5908" width="11.5703125" style="172" customWidth="1"/>
    <col min="5909" max="5909" width="13" style="172" customWidth="1"/>
    <col min="5910" max="5910" width="1.42578125" style="172" customWidth="1"/>
    <col min="5911" max="5911" width="10.5703125" style="172" customWidth="1"/>
    <col min="5912" max="6143" width="11" style="172"/>
    <col min="6144" max="6144" width="1.5703125" style="172" customWidth="1"/>
    <col min="6145" max="6145" width="8.5703125" style="172" customWidth="1"/>
    <col min="6146" max="6146" width="28.7109375" style="172" customWidth="1"/>
    <col min="6147" max="6147" width="26.5703125" style="172" customWidth="1"/>
    <col min="6148" max="6148" width="7.7109375" style="172" customWidth="1"/>
    <col min="6149" max="6149" width="19.42578125" style="172" customWidth="1"/>
    <col min="6150" max="6150" width="44.28515625" style="172" customWidth="1"/>
    <col min="6151" max="6151" width="17" style="172" customWidth="1"/>
    <col min="6152" max="6152" width="15.5703125" style="172" customWidth="1"/>
    <col min="6153" max="6153" width="14.140625" style="172" customWidth="1"/>
    <col min="6154" max="6154" width="1.7109375" style="172" customWidth="1"/>
    <col min="6155" max="6155" width="13.7109375" style="172" customWidth="1"/>
    <col min="6156" max="6156" width="13.85546875" style="172" bestFit="1" customWidth="1"/>
    <col min="6157" max="6157" width="2.5703125" style="172" customWidth="1"/>
    <col min="6158" max="6158" width="12.42578125" style="172" customWidth="1"/>
    <col min="6159" max="6159" width="13.5703125" style="172" customWidth="1"/>
    <col min="6160" max="6160" width="2.5703125" style="172" customWidth="1"/>
    <col min="6161" max="6161" width="12.42578125" style="172" customWidth="1"/>
    <col min="6162" max="6162" width="13.5703125" style="172" customWidth="1"/>
    <col min="6163" max="6163" width="2.5703125" style="172" customWidth="1"/>
    <col min="6164" max="6164" width="11.5703125" style="172" customWidth="1"/>
    <col min="6165" max="6165" width="13" style="172" customWidth="1"/>
    <col min="6166" max="6166" width="1.42578125" style="172" customWidth="1"/>
    <col min="6167" max="6167" width="10.5703125" style="172" customWidth="1"/>
    <col min="6168" max="6399" width="11" style="172"/>
    <col min="6400" max="6400" width="1.5703125" style="172" customWidth="1"/>
    <col min="6401" max="6401" width="8.5703125" style="172" customWidth="1"/>
    <col min="6402" max="6402" width="28.7109375" style="172" customWidth="1"/>
    <col min="6403" max="6403" width="26.5703125" style="172" customWidth="1"/>
    <col min="6404" max="6404" width="7.7109375" style="172" customWidth="1"/>
    <col min="6405" max="6405" width="19.42578125" style="172" customWidth="1"/>
    <col min="6406" max="6406" width="44.28515625" style="172" customWidth="1"/>
    <col min="6407" max="6407" width="17" style="172" customWidth="1"/>
    <col min="6408" max="6408" width="15.5703125" style="172" customWidth="1"/>
    <col min="6409" max="6409" width="14.140625" style="172" customWidth="1"/>
    <col min="6410" max="6410" width="1.7109375" style="172" customWidth="1"/>
    <col min="6411" max="6411" width="13.7109375" style="172" customWidth="1"/>
    <col min="6412" max="6412" width="13.85546875" style="172" bestFit="1" customWidth="1"/>
    <col min="6413" max="6413" width="2.5703125" style="172" customWidth="1"/>
    <col min="6414" max="6414" width="12.42578125" style="172" customWidth="1"/>
    <col min="6415" max="6415" width="13.5703125" style="172" customWidth="1"/>
    <col min="6416" max="6416" width="2.5703125" style="172" customWidth="1"/>
    <col min="6417" max="6417" width="12.42578125" style="172" customWidth="1"/>
    <col min="6418" max="6418" width="13.5703125" style="172" customWidth="1"/>
    <col min="6419" max="6419" width="2.5703125" style="172" customWidth="1"/>
    <col min="6420" max="6420" width="11.5703125" style="172" customWidth="1"/>
    <col min="6421" max="6421" width="13" style="172" customWidth="1"/>
    <col min="6422" max="6422" width="1.42578125" style="172" customWidth="1"/>
    <col min="6423" max="6423" width="10.5703125" style="172" customWidth="1"/>
    <col min="6424" max="6655" width="11" style="172"/>
    <col min="6656" max="6656" width="1.5703125" style="172" customWidth="1"/>
    <col min="6657" max="6657" width="8.5703125" style="172" customWidth="1"/>
    <col min="6658" max="6658" width="28.7109375" style="172" customWidth="1"/>
    <col min="6659" max="6659" width="26.5703125" style="172" customWidth="1"/>
    <col min="6660" max="6660" width="7.7109375" style="172" customWidth="1"/>
    <col min="6661" max="6661" width="19.42578125" style="172" customWidth="1"/>
    <col min="6662" max="6662" width="44.28515625" style="172" customWidth="1"/>
    <col min="6663" max="6663" width="17" style="172" customWidth="1"/>
    <col min="6664" max="6664" width="15.5703125" style="172" customWidth="1"/>
    <col min="6665" max="6665" width="14.140625" style="172" customWidth="1"/>
    <col min="6666" max="6666" width="1.7109375" style="172" customWidth="1"/>
    <col min="6667" max="6667" width="13.7109375" style="172" customWidth="1"/>
    <col min="6668" max="6668" width="13.85546875" style="172" bestFit="1" customWidth="1"/>
    <col min="6669" max="6669" width="2.5703125" style="172" customWidth="1"/>
    <col min="6670" max="6670" width="12.42578125" style="172" customWidth="1"/>
    <col min="6671" max="6671" width="13.5703125" style="172" customWidth="1"/>
    <col min="6672" max="6672" width="2.5703125" style="172" customWidth="1"/>
    <col min="6673" max="6673" width="12.42578125" style="172" customWidth="1"/>
    <col min="6674" max="6674" width="13.5703125" style="172" customWidth="1"/>
    <col min="6675" max="6675" width="2.5703125" style="172" customWidth="1"/>
    <col min="6676" max="6676" width="11.5703125" style="172" customWidth="1"/>
    <col min="6677" max="6677" width="13" style="172" customWidth="1"/>
    <col min="6678" max="6678" width="1.42578125" style="172" customWidth="1"/>
    <col min="6679" max="6679" width="10.5703125" style="172" customWidth="1"/>
    <col min="6680" max="6911" width="11" style="172"/>
    <col min="6912" max="6912" width="1.5703125" style="172" customWidth="1"/>
    <col min="6913" max="6913" width="8.5703125" style="172" customWidth="1"/>
    <col min="6914" max="6914" width="28.7109375" style="172" customWidth="1"/>
    <col min="6915" max="6915" width="26.5703125" style="172" customWidth="1"/>
    <col min="6916" max="6916" width="7.7109375" style="172" customWidth="1"/>
    <col min="6917" max="6917" width="19.42578125" style="172" customWidth="1"/>
    <col min="6918" max="6918" width="44.28515625" style="172" customWidth="1"/>
    <col min="6919" max="6919" width="17" style="172" customWidth="1"/>
    <col min="6920" max="6920" width="15.5703125" style="172" customWidth="1"/>
    <col min="6921" max="6921" width="14.140625" style="172" customWidth="1"/>
    <col min="6922" max="6922" width="1.7109375" style="172" customWidth="1"/>
    <col min="6923" max="6923" width="13.7109375" style="172" customWidth="1"/>
    <col min="6924" max="6924" width="13.85546875" style="172" bestFit="1" customWidth="1"/>
    <col min="6925" max="6925" width="2.5703125" style="172" customWidth="1"/>
    <col min="6926" max="6926" width="12.42578125" style="172" customWidth="1"/>
    <col min="6927" max="6927" width="13.5703125" style="172" customWidth="1"/>
    <col min="6928" max="6928" width="2.5703125" style="172" customWidth="1"/>
    <col min="6929" max="6929" width="12.42578125" style="172" customWidth="1"/>
    <col min="6930" max="6930" width="13.5703125" style="172" customWidth="1"/>
    <col min="6931" max="6931" width="2.5703125" style="172" customWidth="1"/>
    <col min="6932" max="6932" width="11.5703125" style="172" customWidth="1"/>
    <col min="6933" max="6933" width="13" style="172" customWidth="1"/>
    <col min="6934" max="6934" width="1.42578125" style="172" customWidth="1"/>
    <col min="6935" max="6935" width="10.5703125" style="172" customWidth="1"/>
    <col min="6936" max="7167" width="11" style="172"/>
    <col min="7168" max="7168" width="1.5703125" style="172" customWidth="1"/>
    <col min="7169" max="7169" width="8.5703125" style="172" customWidth="1"/>
    <col min="7170" max="7170" width="28.7109375" style="172" customWidth="1"/>
    <col min="7171" max="7171" width="26.5703125" style="172" customWidth="1"/>
    <col min="7172" max="7172" width="7.7109375" style="172" customWidth="1"/>
    <col min="7173" max="7173" width="19.42578125" style="172" customWidth="1"/>
    <col min="7174" max="7174" width="44.28515625" style="172" customWidth="1"/>
    <col min="7175" max="7175" width="17" style="172" customWidth="1"/>
    <col min="7176" max="7176" width="15.5703125" style="172" customWidth="1"/>
    <col min="7177" max="7177" width="14.140625" style="172" customWidth="1"/>
    <col min="7178" max="7178" width="1.7109375" style="172" customWidth="1"/>
    <col min="7179" max="7179" width="13.7109375" style="172" customWidth="1"/>
    <col min="7180" max="7180" width="13.85546875" style="172" bestFit="1" customWidth="1"/>
    <col min="7181" max="7181" width="2.5703125" style="172" customWidth="1"/>
    <col min="7182" max="7182" width="12.42578125" style="172" customWidth="1"/>
    <col min="7183" max="7183" width="13.5703125" style="172" customWidth="1"/>
    <col min="7184" max="7184" width="2.5703125" style="172" customWidth="1"/>
    <col min="7185" max="7185" width="12.42578125" style="172" customWidth="1"/>
    <col min="7186" max="7186" width="13.5703125" style="172" customWidth="1"/>
    <col min="7187" max="7187" width="2.5703125" style="172" customWidth="1"/>
    <col min="7188" max="7188" width="11.5703125" style="172" customWidth="1"/>
    <col min="7189" max="7189" width="13" style="172" customWidth="1"/>
    <col min="7190" max="7190" width="1.42578125" style="172" customWidth="1"/>
    <col min="7191" max="7191" width="10.5703125" style="172" customWidth="1"/>
    <col min="7192" max="7423" width="11" style="172"/>
    <col min="7424" max="7424" width="1.5703125" style="172" customWidth="1"/>
    <col min="7425" max="7425" width="8.5703125" style="172" customWidth="1"/>
    <col min="7426" max="7426" width="28.7109375" style="172" customWidth="1"/>
    <col min="7427" max="7427" width="26.5703125" style="172" customWidth="1"/>
    <col min="7428" max="7428" width="7.7109375" style="172" customWidth="1"/>
    <col min="7429" max="7429" width="19.42578125" style="172" customWidth="1"/>
    <col min="7430" max="7430" width="44.28515625" style="172" customWidth="1"/>
    <col min="7431" max="7431" width="17" style="172" customWidth="1"/>
    <col min="7432" max="7432" width="15.5703125" style="172" customWidth="1"/>
    <col min="7433" max="7433" width="14.140625" style="172" customWidth="1"/>
    <col min="7434" max="7434" width="1.7109375" style="172" customWidth="1"/>
    <col min="7435" max="7435" width="13.7109375" style="172" customWidth="1"/>
    <col min="7436" max="7436" width="13.85546875" style="172" bestFit="1" customWidth="1"/>
    <col min="7437" max="7437" width="2.5703125" style="172" customWidth="1"/>
    <col min="7438" max="7438" width="12.42578125" style="172" customWidth="1"/>
    <col min="7439" max="7439" width="13.5703125" style="172" customWidth="1"/>
    <col min="7440" max="7440" width="2.5703125" style="172" customWidth="1"/>
    <col min="7441" max="7441" width="12.42578125" style="172" customWidth="1"/>
    <col min="7442" max="7442" width="13.5703125" style="172" customWidth="1"/>
    <col min="7443" max="7443" width="2.5703125" style="172" customWidth="1"/>
    <col min="7444" max="7444" width="11.5703125" style="172" customWidth="1"/>
    <col min="7445" max="7445" width="13" style="172" customWidth="1"/>
    <col min="7446" max="7446" width="1.42578125" style="172" customWidth="1"/>
    <col min="7447" max="7447" width="10.5703125" style="172" customWidth="1"/>
    <col min="7448" max="7679" width="11" style="172"/>
    <col min="7680" max="7680" width="1.5703125" style="172" customWidth="1"/>
    <col min="7681" max="7681" width="8.5703125" style="172" customWidth="1"/>
    <col min="7682" max="7682" width="28.7109375" style="172" customWidth="1"/>
    <col min="7683" max="7683" width="26.5703125" style="172" customWidth="1"/>
    <col min="7684" max="7684" width="7.7109375" style="172" customWidth="1"/>
    <col min="7685" max="7685" width="19.42578125" style="172" customWidth="1"/>
    <col min="7686" max="7686" width="44.28515625" style="172" customWidth="1"/>
    <col min="7687" max="7687" width="17" style="172" customWidth="1"/>
    <col min="7688" max="7688" width="15.5703125" style="172" customWidth="1"/>
    <col min="7689" max="7689" width="14.140625" style="172" customWidth="1"/>
    <col min="7690" max="7690" width="1.7109375" style="172" customWidth="1"/>
    <col min="7691" max="7691" width="13.7109375" style="172" customWidth="1"/>
    <col min="7692" max="7692" width="13.85546875" style="172" bestFit="1" customWidth="1"/>
    <col min="7693" max="7693" width="2.5703125" style="172" customWidth="1"/>
    <col min="7694" max="7694" width="12.42578125" style="172" customWidth="1"/>
    <col min="7695" max="7695" width="13.5703125" style="172" customWidth="1"/>
    <col min="7696" max="7696" width="2.5703125" style="172" customWidth="1"/>
    <col min="7697" max="7697" width="12.42578125" style="172" customWidth="1"/>
    <col min="7698" max="7698" width="13.5703125" style="172" customWidth="1"/>
    <col min="7699" max="7699" width="2.5703125" style="172" customWidth="1"/>
    <col min="7700" max="7700" width="11.5703125" style="172" customWidth="1"/>
    <col min="7701" max="7701" width="13" style="172" customWidth="1"/>
    <col min="7702" max="7702" width="1.42578125" style="172" customWidth="1"/>
    <col min="7703" max="7703" width="10.5703125" style="172" customWidth="1"/>
    <col min="7704" max="7935" width="11" style="172"/>
    <col min="7936" max="7936" width="1.5703125" style="172" customWidth="1"/>
    <col min="7937" max="7937" width="8.5703125" style="172" customWidth="1"/>
    <col min="7938" max="7938" width="28.7109375" style="172" customWidth="1"/>
    <col min="7939" max="7939" width="26.5703125" style="172" customWidth="1"/>
    <col min="7940" max="7940" width="7.7109375" style="172" customWidth="1"/>
    <col min="7941" max="7941" width="19.42578125" style="172" customWidth="1"/>
    <col min="7942" max="7942" width="44.28515625" style="172" customWidth="1"/>
    <col min="7943" max="7943" width="17" style="172" customWidth="1"/>
    <col min="7944" max="7944" width="15.5703125" style="172" customWidth="1"/>
    <col min="7945" max="7945" width="14.140625" style="172" customWidth="1"/>
    <col min="7946" max="7946" width="1.7109375" style="172" customWidth="1"/>
    <col min="7947" max="7947" width="13.7109375" style="172" customWidth="1"/>
    <col min="7948" max="7948" width="13.85546875" style="172" bestFit="1" customWidth="1"/>
    <col min="7949" max="7949" width="2.5703125" style="172" customWidth="1"/>
    <col min="7950" max="7950" width="12.42578125" style="172" customWidth="1"/>
    <col min="7951" max="7951" width="13.5703125" style="172" customWidth="1"/>
    <col min="7952" max="7952" width="2.5703125" style="172" customWidth="1"/>
    <col min="7953" max="7953" width="12.42578125" style="172" customWidth="1"/>
    <col min="7954" max="7954" width="13.5703125" style="172" customWidth="1"/>
    <col min="7955" max="7955" width="2.5703125" style="172" customWidth="1"/>
    <col min="7956" max="7956" width="11.5703125" style="172" customWidth="1"/>
    <col min="7957" max="7957" width="13" style="172" customWidth="1"/>
    <col min="7958" max="7958" width="1.42578125" style="172" customWidth="1"/>
    <col min="7959" max="7959" width="10.5703125" style="172" customWidth="1"/>
    <col min="7960" max="8191" width="11" style="172"/>
    <col min="8192" max="8192" width="1.5703125" style="172" customWidth="1"/>
    <col min="8193" max="8193" width="8.5703125" style="172" customWidth="1"/>
    <col min="8194" max="8194" width="28.7109375" style="172" customWidth="1"/>
    <col min="8195" max="8195" width="26.5703125" style="172" customWidth="1"/>
    <col min="8196" max="8196" width="7.7109375" style="172" customWidth="1"/>
    <col min="8197" max="8197" width="19.42578125" style="172" customWidth="1"/>
    <col min="8198" max="8198" width="44.28515625" style="172" customWidth="1"/>
    <col min="8199" max="8199" width="17" style="172" customWidth="1"/>
    <col min="8200" max="8200" width="15.5703125" style="172" customWidth="1"/>
    <col min="8201" max="8201" width="14.140625" style="172" customWidth="1"/>
    <col min="8202" max="8202" width="1.7109375" style="172" customWidth="1"/>
    <col min="8203" max="8203" width="13.7109375" style="172" customWidth="1"/>
    <col min="8204" max="8204" width="13.85546875" style="172" bestFit="1" customWidth="1"/>
    <col min="8205" max="8205" width="2.5703125" style="172" customWidth="1"/>
    <col min="8206" max="8206" width="12.42578125" style="172" customWidth="1"/>
    <col min="8207" max="8207" width="13.5703125" style="172" customWidth="1"/>
    <col min="8208" max="8208" width="2.5703125" style="172" customWidth="1"/>
    <col min="8209" max="8209" width="12.42578125" style="172" customWidth="1"/>
    <col min="8210" max="8210" width="13.5703125" style="172" customWidth="1"/>
    <col min="8211" max="8211" width="2.5703125" style="172" customWidth="1"/>
    <col min="8212" max="8212" width="11.5703125" style="172" customWidth="1"/>
    <col min="8213" max="8213" width="13" style="172" customWidth="1"/>
    <col min="8214" max="8214" width="1.42578125" style="172" customWidth="1"/>
    <col min="8215" max="8215" width="10.5703125" style="172" customWidth="1"/>
    <col min="8216" max="8447" width="11" style="172"/>
    <col min="8448" max="8448" width="1.5703125" style="172" customWidth="1"/>
    <col min="8449" max="8449" width="8.5703125" style="172" customWidth="1"/>
    <col min="8450" max="8450" width="28.7109375" style="172" customWidth="1"/>
    <col min="8451" max="8451" width="26.5703125" style="172" customWidth="1"/>
    <col min="8452" max="8452" width="7.7109375" style="172" customWidth="1"/>
    <col min="8453" max="8453" width="19.42578125" style="172" customWidth="1"/>
    <col min="8454" max="8454" width="44.28515625" style="172" customWidth="1"/>
    <col min="8455" max="8455" width="17" style="172" customWidth="1"/>
    <col min="8456" max="8456" width="15.5703125" style="172" customWidth="1"/>
    <col min="8457" max="8457" width="14.140625" style="172" customWidth="1"/>
    <col min="8458" max="8458" width="1.7109375" style="172" customWidth="1"/>
    <col min="8459" max="8459" width="13.7109375" style="172" customWidth="1"/>
    <col min="8460" max="8460" width="13.85546875" style="172" bestFit="1" customWidth="1"/>
    <col min="8461" max="8461" width="2.5703125" style="172" customWidth="1"/>
    <col min="8462" max="8462" width="12.42578125" style="172" customWidth="1"/>
    <col min="8463" max="8463" width="13.5703125" style="172" customWidth="1"/>
    <col min="8464" max="8464" width="2.5703125" style="172" customWidth="1"/>
    <col min="8465" max="8465" width="12.42578125" style="172" customWidth="1"/>
    <col min="8466" max="8466" width="13.5703125" style="172" customWidth="1"/>
    <col min="8467" max="8467" width="2.5703125" style="172" customWidth="1"/>
    <col min="8468" max="8468" width="11.5703125" style="172" customWidth="1"/>
    <col min="8469" max="8469" width="13" style="172" customWidth="1"/>
    <col min="8470" max="8470" width="1.42578125" style="172" customWidth="1"/>
    <col min="8471" max="8471" width="10.5703125" style="172" customWidth="1"/>
    <col min="8472" max="8703" width="11" style="172"/>
    <col min="8704" max="8704" width="1.5703125" style="172" customWidth="1"/>
    <col min="8705" max="8705" width="8.5703125" style="172" customWidth="1"/>
    <col min="8706" max="8706" width="28.7109375" style="172" customWidth="1"/>
    <col min="8707" max="8707" width="26.5703125" style="172" customWidth="1"/>
    <col min="8708" max="8708" width="7.7109375" style="172" customWidth="1"/>
    <col min="8709" max="8709" width="19.42578125" style="172" customWidth="1"/>
    <col min="8710" max="8710" width="44.28515625" style="172" customWidth="1"/>
    <col min="8711" max="8711" width="17" style="172" customWidth="1"/>
    <col min="8712" max="8712" width="15.5703125" style="172" customWidth="1"/>
    <col min="8713" max="8713" width="14.140625" style="172" customWidth="1"/>
    <col min="8714" max="8714" width="1.7109375" style="172" customWidth="1"/>
    <col min="8715" max="8715" width="13.7109375" style="172" customWidth="1"/>
    <col min="8716" max="8716" width="13.85546875" style="172" bestFit="1" customWidth="1"/>
    <col min="8717" max="8717" width="2.5703125" style="172" customWidth="1"/>
    <col min="8718" max="8718" width="12.42578125" style="172" customWidth="1"/>
    <col min="8719" max="8719" width="13.5703125" style="172" customWidth="1"/>
    <col min="8720" max="8720" width="2.5703125" style="172" customWidth="1"/>
    <col min="8721" max="8721" width="12.42578125" style="172" customWidth="1"/>
    <col min="8722" max="8722" width="13.5703125" style="172" customWidth="1"/>
    <col min="8723" max="8723" width="2.5703125" style="172" customWidth="1"/>
    <col min="8724" max="8724" width="11.5703125" style="172" customWidth="1"/>
    <col min="8725" max="8725" width="13" style="172" customWidth="1"/>
    <col min="8726" max="8726" width="1.42578125" style="172" customWidth="1"/>
    <col min="8727" max="8727" width="10.5703125" style="172" customWidth="1"/>
    <col min="8728" max="8959" width="11" style="172"/>
    <col min="8960" max="8960" width="1.5703125" style="172" customWidth="1"/>
    <col min="8961" max="8961" width="8.5703125" style="172" customWidth="1"/>
    <col min="8962" max="8962" width="28.7109375" style="172" customWidth="1"/>
    <col min="8963" max="8963" width="26.5703125" style="172" customWidth="1"/>
    <col min="8964" max="8964" width="7.7109375" style="172" customWidth="1"/>
    <col min="8965" max="8965" width="19.42578125" style="172" customWidth="1"/>
    <col min="8966" max="8966" width="44.28515625" style="172" customWidth="1"/>
    <col min="8967" max="8967" width="17" style="172" customWidth="1"/>
    <col min="8968" max="8968" width="15.5703125" style="172" customWidth="1"/>
    <col min="8969" max="8969" width="14.140625" style="172" customWidth="1"/>
    <col min="8970" max="8970" width="1.7109375" style="172" customWidth="1"/>
    <col min="8971" max="8971" width="13.7109375" style="172" customWidth="1"/>
    <col min="8972" max="8972" width="13.85546875" style="172" bestFit="1" customWidth="1"/>
    <col min="8973" max="8973" width="2.5703125" style="172" customWidth="1"/>
    <col min="8974" max="8974" width="12.42578125" style="172" customWidth="1"/>
    <col min="8975" max="8975" width="13.5703125" style="172" customWidth="1"/>
    <col min="8976" max="8976" width="2.5703125" style="172" customWidth="1"/>
    <col min="8977" max="8977" width="12.42578125" style="172" customWidth="1"/>
    <col min="8978" max="8978" width="13.5703125" style="172" customWidth="1"/>
    <col min="8979" max="8979" width="2.5703125" style="172" customWidth="1"/>
    <col min="8980" max="8980" width="11.5703125" style="172" customWidth="1"/>
    <col min="8981" max="8981" width="13" style="172" customWidth="1"/>
    <col min="8982" max="8982" width="1.42578125" style="172" customWidth="1"/>
    <col min="8983" max="8983" width="10.5703125" style="172" customWidth="1"/>
    <col min="8984" max="9215" width="11" style="172"/>
    <col min="9216" max="9216" width="1.5703125" style="172" customWidth="1"/>
    <col min="9217" max="9217" width="8.5703125" style="172" customWidth="1"/>
    <col min="9218" max="9218" width="28.7109375" style="172" customWidth="1"/>
    <col min="9219" max="9219" width="26.5703125" style="172" customWidth="1"/>
    <col min="9220" max="9220" width="7.7109375" style="172" customWidth="1"/>
    <col min="9221" max="9221" width="19.42578125" style="172" customWidth="1"/>
    <col min="9222" max="9222" width="44.28515625" style="172" customWidth="1"/>
    <col min="9223" max="9223" width="17" style="172" customWidth="1"/>
    <col min="9224" max="9224" width="15.5703125" style="172" customWidth="1"/>
    <col min="9225" max="9225" width="14.140625" style="172" customWidth="1"/>
    <col min="9226" max="9226" width="1.7109375" style="172" customWidth="1"/>
    <col min="9227" max="9227" width="13.7109375" style="172" customWidth="1"/>
    <col min="9228" max="9228" width="13.85546875" style="172" bestFit="1" customWidth="1"/>
    <col min="9229" max="9229" width="2.5703125" style="172" customWidth="1"/>
    <col min="9230" max="9230" width="12.42578125" style="172" customWidth="1"/>
    <col min="9231" max="9231" width="13.5703125" style="172" customWidth="1"/>
    <col min="9232" max="9232" width="2.5703125" style="172" customWidth="1"/>
    <col min="9233" max="9233" width="12.42578125" style="172" customWidth="1"/>
    <col min="9234" max="9234" width="13.5703125" style="172" customWidth="1"/>
    <col min="9235" max="9235" width="2.5703125" style="172" customWidth="1"/>
    <col min="9236" max="9236" width="11.5703125" style="172" customWidth="1"/>
    <col min="9237" max="9237" width="13" style="172" customWidth="1"/>
    <col min="9238" max="9238" width="1.42578125" style="172" customWidth="1"/>
    <col min="9239" max="9239" width="10.5703125" style="172" customWidth="1"/>
    <col min="9240" max="9471" width="11" style="172"/>
    <col min="9472" max="9472" width="1.5703125" style="172" customWidth="1"/>
    <col min="9473" max="9473" width="8.5703125" style="172" customWidth="1"/>
    <col min="9474" max="9474" width="28.7109375" style="172" customWidth="1"/>
    <col min="9475" max="9475" width="26.5703125" style="172" customWidth="1"/>
    <col min="9476" max="9476" width="7.7109375" style="172" customWidth="1"/>
    <col min="9477" max="9477" width="19.42578125" style="172" customWidth="1"/>
    <col min="9478" max="9478" width="44.28515625" style="172" customWidth="1"/>
    <col min="9479" max="9479" width="17" style="172" customWidth="1"/>
    <col min="9480" max="9480" width="15.5703125" style="172" customWidth="1"/>
    <col min="9481" max="9481" width="14.140625" style="172" customWidth="1"/>
    <col min="9482" max="9482" width="1.7109375" style="172" customWidth="1"/>
    <col min="9483" max="9483" width="13.7109375" style="172" customWidth="1"/>
    <col min="9484" max="9484" width="13.85546875" style="172" bestFit="1" customWidth="1"/>
    <col min="9485" max="9485" width="2.5703125" style="172" customWidth="1"/>
    <col min="9486" max="9486" width="12.42578125" style="172" customWidth="1"/>
    <col min="9487" max="9487" width="13.5703125" style="172" customWidth="1"/>
    <col min="9488" max="9488" width="2.5703125" style="172" customWidth="1"/>
    <col min="9489" max="9489" width="12.42578125" style="172" customWidth="1"/>
    <col min="9490" max="9490" width="13.5703125" style="172" customWidth="1"/>
    <col min="9491" max="9491" width="2.5703125" style="172" customWidth="1"/>
    <col min="9492" max="9492" width="11.5703125" style="172" customWidth="1"/>
    <col min="9493" max="9493" width="13" style="172" customWidth="1"/>
    <col min="9494" max="9494" width="1.42578125" style="172" customWidth="1"/>
    <col min="9495" max="9495" width="10.5703125" style="172" customWidth="1"/>
    <col min="9496" max="9727" width="11" style="172"/>
    <col min="9728" max="9728" width="1.5703125" style="172" customWidth="1"/>
    <col min="9729" max="9729" width="8.5703125" style="172" customWidth="1"/>
    <col min="9730" max="9730" width="28.7109375" style="172" customWidth="1"/>
    <col min="9731" max="9731" width="26.5703125" style="172" customWidth="1"/>
    <col min="9732" max="9732" width="7.7109375" style="172" customWidth="1"/>
    <col min="9733" max="9733" width="19.42578125" style="172" customWidth="1"/>
    <col min="9734" max="9734" width="44.28515625" style="172" customWidth="1"/>
    <col min="9735" max="9735" width="17" style="172" customWidth="1"/>
    <col min="9736" max="9736" width="15.5703125" style="172" customWidth="1"/>
    <col min="9737" max="9737" width="14.140625" style="172" customWidth="1"/>
    <col min="9738" max="9738" width="1.7109375" style="172" customWidth="1"/>
    <col min="9739" max="9739" width="13.7109375" style="172" customWidth="1"/>
    <col min="9740" max="9740" width="13.85546875" style="172" bestFit="1" customWidth="1"/>
    <col min="9741" max="9741" width="2.5703125" style="172" customWidth="1"/>
    <col min="9742" max="9742" width="12.42578125" style="172" customWidth="1"/>
    <col min="9743" max="9743" width="13.5703125" style="172" customWidth="1"/>
    <col min="9744" max="9744" width="2.5703125" style="172" customWidth="1"/>
    <col min="9745" max="9745" width="12.42578125" style="172" customWidth="1"/>
    <col min="9746" max="9746" width="13.5703125" style="172" customWidth="1"/>
    <col min="9747" max="9747" width="2.5703125" style="172" customWidth="1"/>
    <col min="9748" max="9748" width="11.5703125" style="172" customWidth="1"/>
    <col min="9749" max="9749" width="13" style="172" customWidth="1"/>
    <col min="9750" max="9750" width="1.42578125" style="172" customWidth="1"/>
    <col min="9751" max="9751" width="10.5703125" style="172" customWidth="1"/>
    <col min="9752" max="9983" width="11" style="172"/>
    <col min="9984" max="9984" width="1.5703125" style="172" customWidth="1"/>
    <col min="9985" max="9985" width="8.5703125" style="172" customWidth="1"/>
    <col min="9986" max="9986" width="28.7109375" style="172" customWidth="1"/>
    <col min="9987" max="9987" width="26.5703125" style="172" customWidth="1"/>
    <col min="9988" max="9988" width="7.7109375" style="172" customWidth="1"/>
    <col min="9989" max="9989" width="19.42578125" style="172" customWidth="1"/>
    <col min="9990" max="9990" width="44.28515625" style="172" customWidth="1"/>
    <col min="9991" max="9991" width="17" style="172" customWidth="1"/>
    <col min="9992" max="9992" width="15.5703125" style="172" customWidth="1"/>
    <col min="9993" max="9993" width="14.140625" style="172" customWidth="1"/>
    <col min="9994" max="9994" width="1.7109375" style="172" customWidth="1"/>
    <col min="9995" max="9995" width="13.7109375" style="172" customWidth="1"/>
    <col min="9996" max="9996" width="13.85546875" style="172" bestFit="1" customWidth="1"/>
    <col min="9997" max="9997" width="2.5703125" style="172" customWidth="1"/>
    <col min="9998" max="9998" width="12.42578125" style="172" customWidth="1"/>
    <col min="9999" max="9999" width="13.5703125" style="172" customWidth="1"/>
    <col min="10000" max="10000" width="2.5703125" style="172" customWidth="1"/>
    <col min="10001" max="10001" width="12.42578125" style="172" customWidth="1"/>
    <col min="10002" max="10002" width="13.5703125" style="172" customWidth="1"/>
    <col min="10003" max="10003" width="2.5703125" style="172" customWidth="1"/>
    <col min="10004" max="10004" width="11.5703125" style="172" customWidth="1"/>
    <col min="10005" max="10005" width="13" style="172" customWidth="1"/>
    <col min="10006" max="10006" width="1.42578125" style="172" customWidth="1"/>
    <col min="10007" max="10007" width="10.5703125" style="172" customWidth="1"/>
    <col min="10008" max="10239" width="11" style="172"/>
    <col min="10240" max="10240" width="1.5703125" style="172" customWidth="1"/>
    <col min="10241" max="10241" width="8.5703125" style="172" customWidth="1"/>
    <col min="10242" max="10242" width="28.7109375" style="172" customWidth="1"/>
    <col min="10243" max="10243" width="26.5703125" style="172" customWidth="1"/>
    <col min="10244" max="10244" width="7.7109375" style="172" customWidth="1"/>
    <col min="10245" max="10245" width="19.42578125" style="172" customWidth="1"/>
    <col min="10246" max="10246" width="44.28515625" style="172" customWidth="1"/>
    <col min="10247" max="10247" width="17" style="172" customWidth="1"/>
    <col min="10248" max="10248" width="15.5703125" style="172" customWidth="1"/>
    <col min="10249" max="10249" width="14.140625" style="172" customWidth="1"/>
    <col min="10250" max="10250" width="1.7109375" style="172" customWidth="1"/>
    <col min="10251" max="10251" width="13.7109375" style="172" customWidth="1"/>
    <col min="10252" max="10252" width="13.85546875" style="172" bestFit="1" customWidth="1"/>
    <col min="10253" max="10253" width="2.5703125" style="172" customWidth="1"/>
    <col min="10254" max="10254" width="12.42578125" style="172" customWidth="1"/>
    <col min="10255" max="10255" width="13.5703125" style="172" customWidth="1"/>
    <col min="10256" max="10256" width="2.5703125" style="172" customWidth="1"/>
    <col min="10257" max="10257" width="12.42578125" style="172" customWidth="1"/>
    <col min="10258" max="10258" width="13.5703125" style="172" customWidth="1"/>
    <col min="10259" max="10259" width="2.5703125" style="172" customWidth="1"/>
    <col min="10260" max="10260" width="11.5703125" style="172" customWidth="1"/>
    <col min="10261" max="10261" width="13" style="172" customWidth="1"/>
    <col min="10262" max="10262" width="1.42578125" style="172" customWidth="1"/>
    <col min="10263" max="10263" width="10.5703125" style="172" customWidth="1"/>
    <col min="10264" max="10495" width="11" style="172"/>
    <col min="10496" max="10496" width="1.5703125" style="172" customWidth="1"/>
    <col min="10497" max="10497" width="8.5703125" style="172" customWidth="1"/>
    <col min="10498" max="10498" width="28.7109375" style="172" customWidth="1"/>
    <col min="10499" max="10499" width="26.5703125" style="172" customWidth="1"/>
    <col min="10500" max="10500" width="7.7109375" style="172" customWidth="1"/>
    <col min="10501" max="10501" width="19.42578125" style="172" customWidth="1"/>
    <col min="10502" max="10502" width="44.28515625" style="172" customWidth="1"/>
    <col min="10503" max="10503" width="17" style="172" customWidth="1"/>
    <col min="10504" max="10504" width="15.5703125" style="172" customWidth="1"/>
    <col min="10505" max="10505" width="14.140625" style="172" customWidth="1"/>
    <col min="10506" max="10506" width="1.7109375" style="172" customWidth="1"/>
    <col min="10507" max="10507" width="13.7109375" style="172" customWidth="1"/>
    <col min="10508" max="10508" width="13.85546875" style="172" bestFit="1" customWidth="1"/>
    <col min="10509" max="10509" width="2.5703125" style="172" customWidth="1"/>
    <col min="10510" max="10510" width="12.42578125" style="172" customWidth="1"/>
    <col min="10511" max="10511" width="13.5703125" style="172" customWidth="1"/>
    <col min="10512" max="10512" width="2.5703125" style="172" customWidth="1"/>
    <col min="10513" max="10513" width="12.42578125" style="172" customWidth="1"/>
    <col min="10514" max="10514" width="13.5703125" style="172" customWidth="1"/>
    <col min="10515" max="10515" width="2.5703125" style="172" customWidth="1"/>
    <col min="10516" max="10516" width="11.5703125" style="172" customWidth="1"/>
    <col min="10517" max="10517" width="13" style="172" customWidth="1"/>
    <col min="10518" max="10518" width="1.42578125" style="172" customWidth="1"/>
    <col min="10519" max="10519" width="10.5703125" style="172" customWidth="1"/>
    <col min="10520" max="10751" width="11" style="172"/>
    <col min="10752" max="10752" width="1.5703125" style="172" customWidth="1"/>
    <col min="10753" max="10753" width="8.5703125" style="172" customWidth="1"/>
    <col min="10754" max="10754" width="28.7109375" style="172" customWidth="1"/>
    <col min="10755" max="10755" width="26.5703125" style="172" customWidth="1"/>
    <col min="10756" max="10756" width="7.7109375" style="172" customWidth="1"/>
    <col min="10757" max="10757" width="19.42578125" style="172" customWidth="1"/>
    <col min="10758" max="10758" width="44.28515625" style="172" customWidth="1"/>
    <col min="10759" max="10759" width="17" style="172" customWidth="1"/>
    <col min="10760" max="10760" width="15.5703125" style="172" customWidth="1"/>
    <col min="10761" max="10761" width="14.140625" style="172" customWidth="1"/>
    <col min="10762" max="10762" width="1.7109375" style="172" customWidth="1"/>
    <col min="10763" max="10763" width="13.7109375" style="172" customWidth="1"/>
    <col min="10764" max="10764" width="13.85546875" style="172" bestFit="1" customWidth="1"/>
    <col min="10765" max="10765" width="2.5703125" style="172" customWidth="1"/>
    <col min="10766" max="10766" width="12.42578125" style="172" customWidth="1"/>
    <col min="10767" max="10767" width="13.5703125" style="172" customWidth="1"/>
    <col min="10768" max="10768" width="2.5703125" style="172" customWidth="1"/>
    <col min="10769" max="10769" width="12.42578125" style="172" customWidth="1"/>
    <col min="10770" max="10770" width="13.5703125" style="172" customWidth="1"/>
    <col min="10771" max="10771" width="2.5703125" style="172" customWidth="1"/>
    <col min="10772" max="10772" width="11.5703125" style="172" customWidth="1"/>
    <col min="10773" max="10773" width="13" style="172" customWidth="1"/>
    <col min="10774" max="10774" width="1.42578125" style="172" customWidth="1"/>
    <col min="10775" max="10775" width="10.5703125" style="172" customWidth="1"/>
    <col min="10776" max="11007" width="11" style="172"/>
    <col min="11008" max="11008" width="1.5703125" style="172" customWidth="1"/>
    <col min="11009" max="11009" width="8.5703125" style="172" customWidth="1"/>
    <col min="11010" max="11010" width="28.7109375" style="172" customWidth="1"/>
    <col min="11011" max="11011" width="26.5703125" style="172" customWidth="1"/>
    <col min="11012" max="11012" width="7.7109375" style="172" customWidth="1"/>
    <col min="11013" max="11013" width="19.42578125" style="172" customWidth="1"/>
    <col min="11014" max="11014" width="44.28515625" style="172" customWidth="1"/>
    <col min="11015" max="11015" width="17" style="172" customWidth="1"/>
    <col min="11016" max="11016" width="15.5703125" style="172" customWidth="1"/>
    <col min="11017" max="11017" width="14.140625" style="172" customWidth="1"/>
    <col min="11018" max="11018" width="1.7109375" style="172" customWidth="1"/>
    <col min="11019" max="11019" width="13.7109375" style="172" customWidth="1"/>
    <col min="11020" max="11020" width="13.85546875" style="172" bestFit="1" customWidth="1"/>
    <col min="11021" max="11021" width="2.5703125" style="172" customWidth="1"/>
    <col min="11022" max="11022" width="12.42578125" style="172" customWidth="1"/>
    <col min="11023" max="11023" width="13.5703125" style="172" customWidth="1"/>
    <col min="11024" max="11024" width="2.5703125" style="172" customWidth="1"/>
    <col min="11025" max="11025" width="12.42578125" style="172" customWidth="1"/>
    <col min="11026" max="11026" width="13.5703125" style="172" customWidth="1"/>
    <col min="11027" max="11027" width="2.5703125" style="172" customWidth="1"/>
    <col min="11028" max="11028" width="11.5703125" style="172" customWidth="1"/>
    <col min="11029" max="11029" width="13" style="172" customWidth="1"/>
    <col min="11030" max="11030" width="1.42578125" style="172" customWidth="1"/>
    <col min="11031" max="11031" width="10.5703125" style="172" customWidth="1"/>
    <col min="11032" max="11263" width="11" style="172"/>
    <col min="11264" max="11264" width="1.5703125" style="172" customWidth="1"/>
    <col min="11265" max="11265" width="8.5703125" style="172" customWidth="1"/>
    <col min="11266" max="11266" width="28.7109375" style="172" customWidth="1"/>
    <col min="11267" max="11267" width="26.5703125" style="172" customWidth="1"/>
    <col min="11268" max="11268" width="7.7109375" style="172" customWidth="1"/>
    <col min="11269" max="11269" width="19.42578125" style="172" customWidth="1"/>
    <col min="11270" max="11270" width="44.28515625" style="172" customWidth="1"/>
    <col min="11271" max="11271" width="17" style="172" customWidth="1"/>
    <col min="11272" max="11272" width="15.5703125" style="172" customWidth="1"/>
    <col min="11273" max="11273" width="14.140625" style="172" customWidth="1"/>
    <col min="11274" max="11274" width="1.7109375" style="172" customWidth="1"/>
    <col min="11275" max="11275" width="13.7109375" style="172" customWidth="1"/>
    <col min="11276" max="11276" width="13.85546875" style="172" bestFit="1" customWidth="1"/>
    <col min="11277" max="11277" width="2.5703125" style="172" customWidth="1"/>
    <col min="11278" max="11278" width="12.42578125" style="172" customWidth="1"/>
    <col min="11279" max="11279" width="13.5703125" style="172" customWidth="1"/>
    <col min="11280" max="11280" width="2.5703125" style="172" customWidth="1"/>
    <col min="11281" max="11281" width="12.42578125" style="172" customWidth="1"/>
    <col min="11282" max="11282" width="13.5703125" style="172" customWidth="1"/>
    <col min="11283" max="11283" width="2.5703125" style="172" customWidth="1"/>
    <col min="11284" max="11284" width="11.5703125" style="172" customWidth="1"/>
    <col min="11285" max="11285" width="13" style="172" customWidth="1"/>
    <col min="11286" max="11286" width="1.42578125" style="172" customWidth="1"/>
    <col min="11287" max="11287" width="10.5703125" style="172" customWidth="1"/>
    <col min="11288" max="11519" width="11" style="172"/>
    <col min="11520" max="11520" width="1.5703125" style="172" customWidth="1"/>
    <col min="11521" max="11521" width="8.5703125" style="172" customWidth="1"/>
    <col min="11522" max="11522" width="28.7109375" style="172" customWidth="1"/>
    <col min="11523" max="11523" width="26.5703125" style="172" customWidth="1"/>
    <col min="11524" max="11524" width="7.7109375" style="172" customWidth="1"/>
    <col min="11525" max="11525" width="19.42578125" style="172" customWidth="1"/>
    <col min="11526" max="11526" width="44.28515625" style="172" customWidth="1"/>
    <col min="11527" max="11527" width="17" style="172" customWidth="1"/>
    <col min="11528" max="11528" width="15.5703125" style="172" customWidth="1"/>
    <col min="11529" max="11529" width="14.140625" style="172" customWidth="1"/>
    <col min="11530" max="11530" width="1.7109375" style="172" customWidth="1"/>
    <col min="11531" max="11531" width="13.7109375" style="172" customWidth="1"/>
    <col min="11532" max="11532" width="13.85546875" style="172" bestFit="1" customWidth="1"/>
    <col min="11533" max="11533" width="2.5703125" style="172" customWidth="1"/>
    <col min="11534" max="11534" width="12.42578125" style="172" customWidth="1"/>
    <col min="11535" max="11535" width="13.5703125" style="172" customWidth="1"/>
    <col min="11536" max="11536" width="2.5703125" style="172" customWidth="1"/>
    <col min="11537" max="11537" width="12.42578125" style="172" customWidth="1"/>
    <col min="11538" max="11538" width="13.5703125" style="172" customWidth="1"/>
    <col min="11539" max="11539" width="2.5703125" style="172" customWidth="1"/>
    <col min="11540" max="11540" width="11.5703125" style="172" customWidth="1"/>
    <col min="11541" max="11541" width="13" style="172" customWidth="1"/>
    <col min="11542" max="11542" width="1.42578125" style="172" customWidth="1"/>
    <col min="11543" max="11543" width="10.5703125" style="172" customWidth="1"/>
    <col min="11544" max="11775" width="11" style="172"/>
    <col min="11776" max="11776" width="1.5703125" style="172" customWidth="1"/>
    <col min="11777" max="11777" width="8.5703125" style="172" customWidth="1"/>
    <col min="11778" max="11778" width="28.7109375" style="172" customWidth="1"/>
    <col min="11779" max="11779" width="26.5703125" style="172" customWidth="1"/>
    <col min="11780" max="11780" width="7.7109375" style="172" customWidth="1"/>
    <col min="11781" max="11781" width="19.42578125" style="172" customWidth="1"/>
    <col min="11782" max="11782" width="44.28515625" style="172" customWidth="1"/>
    <col min="11783" max="11783" width="17" style="172" customWidth="1"/>
    <col min="11784" max="11784" width="15.5703125" style="172" customWidth="1"/>
    <col min="11785" max="11785" width="14.140625" style="172" customWidth="1"/>
    <col min="11786" max="11786" width="1.7109375" style="172" customWidth="1"/>
    <col min="11787" max="11787" width="13.7109375" style="172" customWidth="1"/>
    <col min="11788" max="11788" width="13.85546875" style="172" bestFit="1" customWidth="1"/>
    <col min="11789" max="11789" width="2.5703125" style="172" customWidth="1"/>
    <col min="11790" max="11790" width="12.42578125" style="172" customWidth="1"/>
    <col min="11791" max="11791" width="13.5703125" style="172" customWidth="1"/>
    <col min="11792" max="11792" width="2.5703125" style="172" customWidth="1"/>
    <col min="11793" max="11793" width="12.42578125" style="172" customWidth="1"/>
    <col min="11794" max="11794" width="13.5703125" style="172" customWidth="1"/>
    <col min="11795" max="11795" width="2.5703125" style="172" customWidth="1"/>
    <col min="11796" max="11796" width="11.5703125" style="172" customWidth="1"/>
    <col min="11797" max="11797" width="13" style="172" customWidth="1"/>
    <col min="11798" max="11798" width="1.42578125" style="172" customWidth="1"/>
    <col min="11799" max="11799" width="10.5703125" style="172" customWidth="1"/>
    <col min="11800" max="12031" width="11" style="172"/>
    <col min="12032" max="12032" width="1.5703125" style="172" customWidth="1"/>
    <col min="12033" max="12033" width="8.5703125" style="172" customWidth="1"/>
    <col min="12034" max="12034" width="28.7109375" style="172" customWidth="1"/>
    <col min="12035" max="12035" width="26.5703125" style="172" customWidth="1"/>
    <col min="12036" max="12036" width="7.7109375" style="172" customWidth="1"/>
    <col min="12037" max="12037" width="19.42578125" style="172" customWidth="1"/>
    <col min="12038" max="12038" width="44.28515625" style="172" customWidth="1"/>
    <col min="12039" max="12039" width="17" style="172" customWidth="1"/>
    <col min="12040" max="12040" width="15.5703125" style="172" customWidth="1"/>
    <col min="12041" max="12041" width="14.140625" style="172" customWidth="1"/>
    <col min="12042" max="12042" width="1.7109375" style="172" customWidth="1"/>
    <col min="12043" max="12043" width="13.7109375" style="172" customWidth="1"/>
    <col min="12044" max="12044" width="13.85546875" style="172" bestFit="1" customWidth="1"/>
    <col min="12045" max="12045" width="2.5703125" style="172" customWidth="1"/>
    <col min="12046" max="12046" width="12.42578125" style="172" customWidth="1"/>
    <col min="12047" max="12047" width="13.5703125" style="172" customWidth="1"/>
    <col min="12048" max="12048" width="2.5703125" style="172" customWidth="1"/>
    <col min="12049" max="12049" width="12.42578125" style="172" customWidth="1"/>
    <col min="12050" max="12050" width="13.5703125" style="172" customWidth="1"/>
    <col min="12051" max="12051" width="2.5703125" style="172" customWidth="1"/>
    <col min="12052" max="12052" width="11.5703125" style="172" customWidth="1"/>
    <col min="12053" max="12053" width="13" style="172" customWidth="1"/>
    <col min="12054" max="12054" width="1.42578125" style="172" customWidth="1"/>
    <col min="12055" max="12055" width="10.5703125" style="172" customWidth="1"/>
    <col min="12056" max="12287" width="11" style="172"/>
    <col min="12288" max="12288" width="1.5703125" style="172" customWidth="1"/>
    <col min="12289" max="12289" width="8.5703125" style="172" customWidth="1"/>
    <col min="12290" max="12290" width="28.7109375" style="172" customWidth="1"/>
    <col min="12291" max="12291" width="26.5703125" style="172" customWidth="1"/>
    <col min="12292" max="12292" width="7.7109375" style="172" customWidth="1"/>
    <col min="12293" max="12293" width="19.42578125" style="172" customWidth="1"/>
    <col min="12294" max="12294" width="44.28515625" style="172" customWidth="1"/>
    <col min="12295" max="12295" width="17" style="172" customWidth="1"/>
    <col min="12296" max="12296" width="15.5703125" style="172" customWidth="1"/>
    <col min="12297" max="12297" width="14.140625" style="172" customWidth="1"/>
    <col min="12298" max="12298" width="1.7109375" style="172" customWidth="1"/>
    <col min="12299" max="12299" width="13.7109375" style="172" customWidth="1"/>
    <col min="12300" max="12300" width="13.85546875" style="172" bestFit="1" customWidth="1"/>
    <col min="12301" max="12301" width="2.5703125" style="172" customWidth="1"/>
    <col min="12302" max="12302" width="12.42578125" style="172" customWidth="1"/>
    <col min="12303" max="12303" width="13.5703125" style="172" customWidth="1"/>
    <col min="12304" max="12304" width="2.5703125" style="172" customWidth="1"/>
    <col min="12305" max="12305" width="12.42578125" style="172" customWidth="1"/>
    <col min="12306" max="12306" width="13.5703125" style="172" customWidth="1"/>
    <col min="12307" max="12307" width="2.5703125" style="172" customWidth="1"/>
    <col min="12308" max="12308" width="11.5703125" style="172" customWidth="1"/>
    <col min="12309" max="12309" width="13" style="172" customWidth="1"/>
    <col min="12310" max="12310" width="1.42578125" style="172" customWidth="1"/>
    <col min="12311" max="12311" width="10.5703125" style="172" customWidth="1"/>
    <col min="12312" max="12543" width="11" style="172"/>
    <col min="12544" max="12544" width="1.5703125" style="172" customWidth="1"/>
    <col min="12545" max="12545" width="8.5703125" style="172" customWidth="1"/>
    <col min="12546" max="12546" width="28.7109375" style="172" customWidth="1"/>
    <col min="12547" max="12547" width="26.5703125" style="172" customWidth="1"/>
    <col min="12548" max="12548" width="7.7109375" style="172" customWidth="1"/>
    <col min="12549" max="12549" width="19.42578125" style="172" customWidth="1"/>
    <col min="12550" max="12550" width="44.28515625" style="172" customWidth="1"/>
    <col min="12551" max="12551" width="17" style="172" customWidth="1"/>
    <col min="12552" max="12552" width="15.5703125" style="172" customWidth="1"/>
    <col min="12553" max="12553" width="14.140625" style="172" customWidth="1"/>
    <col min="12554" max="12554" width="1.7109375" style="172" customWidth="1"/>
    <col min="12555" max="12555" width="13.7109375" style="172" customWidth="1"/>
    <col min="12556" max="12556" width="13.85546875" style="172" bestFit="1" customWidth="1"/>
    <col min="12557" max="12557" width="2.5703125" style="172" customWidth="1"/>
    <col min="12558" max="12558" width="12.42578125" style="172" customWidth="1"/>
    <col min="12559" max="12559" width="13.5703125" style="172" customWidth="1"/>
    <col min="12560" max="12560" width="2.5703125" style="172" customWidth="1"/>
    <col min="12561" max="12561" width="12.42578125" style="172" customWidth="1"/>
    <col min="12562" max="12562" width="13.5703125" style="172" customWidth="1"/>
    <col min="12563" max="12563" width="2.5703125" style="172" customWidth="1"/>
    <col min="12564" max="12564" width="11.5703125" style="172" customWidth="1"/>
    <col min="12565" max="12565" width="13" style="172" customWidth="1"/>
    <col min="12566" max="12566" width="1.42578125" style="172" customWidth="1"/>
    <col min="12567" max="12567" width="10.5703125" style="172" customWidth="1"/>
    <col min="12568" max="12799" width="11" style="172"/>
    <col min="12800" max="12800" width="1.5703125" style="172" customWidth="1"/>
    <col min="12801" max="12801" width="8.5703125" style="172" customWidth="1"/>
    <col min="12802" max="12802" width="28.7109375" style="172" customWidth="1"/>
    <col min="12803" max="12803" width="26.5703125" style="172" customWidth="1"/>
    <col min="12804" max="12804" width="7.7109375" style="172" customWidth="1"/>
    <col min="12805" max="12805" width="19.42578125" style="172" customWidth="1"/>
    <col min="12806" max="12806" width="44.28515625" style="172" customWidth="1"/>
    <col min="12807" max="12807" width="17" style="172" customWidth="1"/>
    <col min="12808" max="12808" width="15.5703125" style="172" customWidth="1"/>
    <col min="12809" max="12809" width="14.140625" style="172" customWidth="1"/>
    <col min="12810" max="12810" width="1.7109375" style="172" customWidth="1"/>
    <col min="12811" max="12811" width="13.7109375" style="172" customWidth="1"/>
    <col min="12812" max="12812" width="13.85546875" style="172" bestFit="1" customWidth="1"/>
    <col min="12813" max="12813" width="2.5703125" style="172" customWidth="1"/>
    <col min="12814" max="12814" width="12.42578125" style="172" customWidth="1"/>
    <col min="12815" max="12815" width="13.5703125" style="172" customWidth="1"/>
    <col min="12816" max="12816" width="2.5703125" style="172" customWidth="1"/>
    <col min="12817" max="12817" width="12.42578125" style="172" customWidth="1"/>
    <col min="12818" max="12818" width="13.5703125" style="172" customWidth="1"/>
    <col min="12819" max="12819" width="2.5703125" style="172" customWidth="1"/>
    <col min="12820" max="12820" width="11.5703125" style="172" customWidth="1"/>
    <col min="12821" max="12821" width="13" style="172" customWidth="1"/>
    <col min="12822" max="12822" width="1.42578125" style="172" customWidth="1"/>
    <col min="12823" max="12823" width="10.5703125" style="172" customWidth="1"/>
    <col min="12824" max="13055" width="11" style="172"/>
    <col min="13056" max="13056" width="1.5703125" style="172" customWidth="1"/>
    <col min="13057" max="13057" width="8.5703125" style="172" customWidth="1"/>
    <col min="13058" max="13058" width="28.7109375" style="172" customWidth="1"/>
    <col min="13059" max="13059" width="26.5703125" style="172" customWidth="1"/>
    <col min="13060" max="13060" width="7.7109375" style="172" customWidth="1"/>
    <col min="13061" max="13061" width="19.42578125" style="172" customWidth="1"/>
    <col min="13062" max="13062" width="44.28515625" style="172" customWidth="1"/>
    <col min="13063" max="13063" width="17" style="172" customWidth="1"/>
    <col min="13064" max="13064" width="15.5703125" style="172" customWidth="1"/>
    <col min="13065" max="13065" width="14.140625" style="172" customWidth="1"/>
    <col min="13066" max="13066" width="1.7109375" style="172" customWidth="1"/>
    <col min="13067" max="13067" width="13.7109375" style="172" customWidth="1"/>
    <col min="13068" max="13068" width="13.85546875" style="172" bestFit="1" customWidth="1"/>
    <col min="13069" max="13069" width="2.5703125" style="172" customWidth="1"/>
    <col min="13070" max="13070" width="12.42578125" style="172" customWidth="1"/>
    <col min="13071" max="13071" width="13.5703125" style="172" customWidth="1"/>
    <col min="13072" max="13072" width="2.5703125" style="172" customWidth="1"/>
    <col min="13073" max="13073" width="12.42578125" style="172" customWidth="1"/>
    <col min="13074" max="13074" width="13.5703125" style="172" customWidth="1"/>
    <col min="13075" max="13075" width="2.5703125" style="172" customWidth="1"/>
    <col min="13076" max="13076" width="11.5703125" style="172" customWidth="1"/>
    <col min="13077" max="13077" width="13" style="172" customWidth="1"/>
    <col min="13078" max="13078" width="1.42578125" style="172" customWidth="1"/>
    <col min="13079" max="13079" width="10.5703125" style="172" customWidth="1"/>
    <col min="13080" max="13311" width="11" style="172"/>
    <col min="13312" max="13312" width="1.5703125" style="172" customWidth="1"/>
    <col min="13313" max="13313" width="8.5703125" style="172" customWidth="1"/>
    <col min="13314" max="13314" width="28.7109375" style="172" customWidth="1"/>
    <col min="13315" max="13315" width="26.5703125" style="172" customWidth="1"/>
    <col min="13316" max="13316" width="7.7109375" style="172" customWidth="1"/>
    <col min="13317" max="13317" width="19.42578125" style="172" customWidth="1"/>
    <col min="13318" max="13318" width="44.28515625" style="172" customWidth="1"/>
    <col min="13319" max="13319" width="17" style="172" customWidth="1"/>
    <col min="13320" max="13320" width="15.5703125" style="172" customWidth="1"/>
    <col min="13321" max="13321" width="14.140625" style="172" customWidth="1"/>
    <col min="13322" max="13322" width="1.7109375" style="172" customWidth="1"/>
    <col min="13323" max="13323" width="13.7109375" style="172" customWidth="1"/>
    <col min="13324" max="13324" width="13.85546875" style="172" bestFit="1" customWidth="1"/>
    <col min="13325" max="13325" width="2.5703125" style="172" customWidth="1"/>
    <col min="13326" max="13326" width="12.42578125" style="172" customWidth="1"/>
    <col min="13327" max="13327" width="13.5703125" style="172" customWidth="1"/>
    <col min="13328" max="13328" width="2.5703125" style="172" customWidth="1"/>
    <col min="13329" max="13329" width="12.42578125" style="172" customWidth="1"/>
    <col min="13330" max="13330" width="13.5703125" style="172" customWidth="1"/>
    <col min="13331" max="13331" width="2.5703125" style="172" customWidth="1"/>
    <col min="13332" max="13332" width="11.5703125" style="172" customWidth="1"/>
    <col min="13333" max="13333" width="13" style="172" customWidth="1"/>
    <col min="13334" max="13334" width="1.42578125" style="172" customWidth="1"/>
    <col min="13335" max="13335" width="10.5703125" style="172" customWidth="1"/>
    <col min="13336" max="13567" width="11" style="172"/>
    <col min="13568" max="13568" width="1.5703125" style="172" customWidth="1"/>
    <col min="13569" max="13569" width="8.5703125" style="172" customWidth="1"/>
    <col min="13570" max="13570" width="28.7109375" style="172" customWidth="1"/>
    <col min="13571" max="13571" width="26.5703125" style="172" customWidth="1"/>
    <col min="13572" max="13572" width="7.7109375" style="172" customWidth="1"/>
    <col min="13573" max="13573" width="19.42578125" style="172" customWidth="1"/>
    <col min="13574" max="13574" width="44.28515625" style="172" customWidth="1"/>
    <col min="13575" max="13575" width="17" style="172" customWidth="1"/>
    <col min="13576" max="13576" width="15.5703125" style="172" customWidth="1"/>
    <col min="13577" max="13577" width="14.140625" style="172" customWidth="1"/>
    <col min="13578" max="13578" width="1.7109375" style="172" customWidth="1"/>
    <col min="13579" max="13579" width="13.7109375" style="172" customWidth="1"/>
    <col min="13580" max="13580" width="13.85546875" style="172" bestFit="1" customWidth="1"/>
    <col min="13581" max="13581" width="2.5703125" style="172" customWidth="1"/>
    <col min="13582" max="13582" width="12.42578125" style="172" customWidth="1"/>
    <col min="13583" max="13583" width="13.5703125" style="172" customWidth="1"/>
    <col min="13584" max="13584" width="2.5703125" style="172" customWidth="1"/>
    <col min="13585" max="13585" width="12.42578125" style="172" customWidth="1"/>
    <col min="13586" max="13586" width="13.5703125" style="172" customWidth="1"/>
    <col min="13587" max="13587" width="2.5703125" style="172" customWidth="1"/>
    <col min="13588" max="13588" width="11.5703125" style="172" customWidth="1"/>
    <col min="13589" max="13589" width="13" style="172" customWidth="1"/>
    <col min="13590" max="13590" width="1.42578125" style="172" customWidth="1"/>
    <col min="13591" max="13591" width="10.5703125" style="172" customWidth="1"/>
    <col min="13592" max="13823" width="11" style="172"/>
    <col min="13824" max="13824" width="1.5703125" style="172" customWidth="1"/>
    <col min="13825" max="13825" width="8.5703125" style="172" customWidth="1"/>
    <col min="13826" max="13826" width="28.7109375" style="172" customWidth="1"/>
    <col min="13827" max="13827" width="26.5703125" style="172" customWidth="1"/>
    <col min="13828" max="13828" width="7.7109375" style="172" customWidth="1"/>
    <col min="13829" max="13829" width="19.42578125" style="172" customWidth="1"/>
    <col min="13830" max="13830" width="44.28515625" style="172" customWidth="1"/>
    <col min="13831" max="13831" width="17" style="172" customWidth="1"/>
    <col min="13832" max="13832" width="15.5703125" style="172" customWidth="1"/>
    <col min="13833" max="13833" width="14.140625" style="172" customWidth="1"/>
    <col min="13834" max="13834" width="1.7109375" style="172" customWidth="1"/>
    <col min="13835" max="13835" width="13.7109375" style="172" customWidth="1"/>
    <col min="13836" max="13836" width="13.85546875" style="172" bestFit="1" customWidth="1"/>
    <col min="13837" max="13837" width="2.5703125" style="172" customWidth="1"/>
    <col min="13838" max="13838" width="12.42578125" style="172" customWidth="1"/>
    <col min="13839" max="13839" width="13.5703125" style="172" customWidth="1"/>
    <col min="13840" max="13840" width="2.5703125" style="172" customWidth="1"/>
    <col min="13841" max="13841" width="12.42578125" style="172" customWidth="1"/>
    <col min="13842" max="13842" width="13.5703125" style="172" customWidth="1"/>
    <col min="13843" max="13843" width="2.5703125" style="172" customWidth="1"/>
    <col min="13844" max="13844" width="11.5703125" style="172" customWidth="1"/>
    <col min="13845" max="13845" width="13" style="172" customWidth="1"/>
    <col min="13846" max="13846" width="1.42578125" style="172" customWidth="1"/>
    <col min="13847" max="13847" width="10.5703125" style="172" customWidth="1"/>
    <col min="13848" max="14079" width="11" style="172"/>
    <col min="14080" max="14080" width="1.5703125" style="172" customWidth="1"/>
    <col min="14081" max="14081" width="8.5703125" style="172" customWidth="1"/>
    <col min="14082" max="14082" width="28.7109375" style="172" customWidth="1"/>
    <col min="14083" max="14083" width="26.5703125" style="172" customWidth="1"/>
    <col min="14084" max="14084" width="7.7109375" style="172" customWidth="1"/>
    <col min="14085" max="14085" width="19.42578125" style="172" customWidth="1"/>
    <col min="14086" max="14086" width="44.28515625" style="172" customWidth="1"/>
    <col min="14087" max="14087" width="17" style="172" customWidth="1"/>
    <col min="14088" max="14088" width="15.5703125" style="172" customWidth="1"/>
    <col min="14089" max="14089" width="14.140625" style="172" customWidth="1"/>
    <col min="14090" max="14090" width="1.7109375" style="172" customWidth="1"/>
    <col min="14091" max="14091" width="13.7109375" style="172" customWidth="1"/>
    <col min="14092" max="14092" width="13.85546875" style="172" bestFit="1" customWidth="1"/>
    <col min="14093" max="14093" width="2.5703125" style="172" customWidth="1"/>
    <col min="14094" max="14094" width="12.42578125" style="172" customWidth="1"/>
    <col min="14095" max="14095" width="13.5703125" style="172" customWidth="1"/>
    <col min="14096" max="14096" width="2.5703125" style="172" customWidth="1"/>
    <col min="14097" max="14097" width="12.42578125" style="172" customWidth="1"/>
    <col min="14098" max="14098" width="13.5703125" style="172" customWidth="1"/>
    <col min="14099" max="14099" width="2.5703125" style="172" customWidth="1"/>
    <col min="14100" max="14100" width="11.5703125" style="172" customWidth="1"/>
    <col min="14101" max="14101" width="13" style="172" customWidth="1"/>
    <col min="14102" max="14102" width="1.42578125" style="172" customWidth="1"/>
    <col min="14103" max="14103" width="10.5703125" style="172" customWidth="1"/>
    <col min="14104" max="14335" width="11" style="172"/>
    <col min="14336" max="14336" width="1.5703125" style="172" customWidth="1"/>
    <col min="14337" max="14337" width="8.5703125" style="172" customWidth="1"/>
    <col min="14338" max="14338" width="28.7109375" style="172" customWidth="1"/>
    <col min="14339" max="14339" width="26.5703125" style="172" customWidth="1"/>
    <col min="14340" max="14340" width="7.7109375" style="172" customWidth="1"/>
    <col min="14341" max="14341" width="19.42578125" style="172" customWidth="1"/>
    <col min="14342" max="14342" width="44.28515625" style="172" customWidth="1"/>
    <col min="14343" max="14343" width="17" style="172" customWidth="1"/>
    <col min="14344" max="14344" width="15.5703125" style="172" customWidth="1"/>
    <col min="14345" max="14345" width="14.140625" style="172" customWidth="1"/>
    <col min="14346" max="14346" width="1.7109375" style="172" customWidth="1"/>
    <col min="14347" max="14347" width="13.7109375" style="172" customWidth="1"/>
    <col min="14348" max="14348" width="13.85546875" style="172" bestFit="1" customWidth="1"/>
    <col min="14349" max="14349" width="2.5703125" style="172" customWidth="1"/>
    <col min="14350" max="14350" width="12.42578125" style="172" customWidth="1"/>
    <col min="14351" max="14351" width="13.5703125" style="172" customWidth="1"/>
    <col min="14352" max="14352" width="2.5703125" style="172" customWidth="1"/>
    <col min="14353" max="14353" width="12.42578125" style="172" customWidth="1"/>
    <col min="14354" max="14354" width="13.5703125" style="172" customWidth="1"/>
    <col min="14355" max="14355" width="2.5703125" style="172" customWidth="1"/>
    <col min="14356" max="14356" width="11.5703125" style="172" customWidth="1"/>
    <col min="14357" max="14357" width="13" style="172" customWidth="1"/>
    <col min="14358" max="14358" width="1.42578125" style="172" customWidth="1"/>
    <col min="14359" max="14359" width="10.5703125" style="172" customWidth="1"/>
    <col min="14360" max="14591" width="11" style="172"/>
    <col min="14592" max="14592" width="1.5703125" style="172" customWidth="1"/>
    <col min="14593" max="14593" width="8.5703125" style="172" customWidth="1"/>
    <col min="14594" max="14594" width="28.7109375" style="172" customWidth="1"/>
    <col min="14595" max="14595" width="26.5703125" style="172" customWidth="1"/>
    <col min="14596" max="14596" width="7.7109375" style="172" customWidth="1"/>
    <col min="14597" max="14597" width="19.42578125" style="172" customWidth="1"/>
    <col min="14598" max="14598" width="44.28515625" style="172" customWidth="1"/>
    <col min="14599" max="14599" width="17" style="172" customWidth="1"/>
    <col min="14600" max="14600" width="15.5703125" style="172" customWidth="1"/>
    <col min="14601" max="14601" width="14.140625" style="172" customWidth="1"/>
    <col min="14602" max="14602" width="1.7109375" style="172" customWidth="1"/>
    <col min="14603" max="14603" width="13.7109375" style="172" customWidth="1"/>
    <col min="14604" max="14604" width="13.85546875" style="172" bestFit="1" customWidth="1"/>
    <col min="14605" max="14605" width="2.5703125" style="172" customWidth="1"/>
    <col min="14606" max="14606" width="12.42578125" style="172" customWidth="1"/>
    <col min="14607" max="14607" width="13.5703125" style="172" customWidth="1"/>
    <col min="14608" max="14608" width="2.5703125" style="172" customWidth="1"/>
    <col min="14609" max="14609" width="12.42578125" style="172" customWidth="1"/>
    <col min="14610" max="14610" width="13.5703125" style="172" customWidth="1"/>
    <col min="14611" max="14611" width="2.5703125" style="172" customWidth="1"/>
    <col min="14612" max="14612" width="11.5703125" style="172" customWidth="1"/>
    <col min="14613" max="14613" width="13" style="172" customWidth="1"/>
    <col min="14614" max="14614" width="1.42578125" style="172" customWidth="1"/>
    <col min="14615" max="14615" width="10.5703125" style="172" customWidth="1"/>
    <col min="14616" max="14847" width="11" style="172"/>
    <col min="14848" max="14848" width="1.5703125" style="172" customWidth="1"/>
    <col min="14849" max="14849" width="8.5703125" style="172" customWidth="1"/>
    <col min="14850" max="14850" width="28.7109375" style="172" customWidth="1"/>
    <col min="14851" max="14851" width="26.5703125" style="172" customWidth="1"/>
    <col min="14852" max="14852" width="7.7109375" style="172" customWidth="1"/>
    <col min="14853" max="14853" width="19.42578125" style="172" customWidth="1"/>
    <col min="14854" max="14854" width="44.28515625" style="172" customWidth="1"/>
    <col min="14855" max="14855" width="17" style="172" customWidth="1"/>
    <col min="14856" max="14856" width="15.5703125" style="172" customWidth="1"/>
    <col min="14857" max="14857" width="14.140625" style="172" customWidth="1"/>
    <col min="14858" max="14858" width="1.7109375" style="172" customWidth="1"/>
    <col min="14859" max="14859" width="13.7109375" style="172" customWidth="1"/>
    <col min="14860" max="14860" width="13.85546875" style="172" bestFit="1" customWidth="1"/>
    <col min="14861" max="14861" width="2.5703125" style="172" customWidth="1"/>
    <col min="14862" max="14862" width="12.42578125" style="172" customWidth="1"/>
    <col min="14863" max="14863" width="13.5703125" style="172" customWidth="1"/>
    <col min="14864" max="14864" width="2.5703125" style="172" customWidth="1"/>
    <col min="14865" max="14865" width="12.42578125" style="172" customWidth="1"/>
    <col min="14866" max="14866" width="13.5703125" style="172" customWidth="1"/>
    <col min="14867" max="14867" width="2.5703125" style="172" customWidth="1"/>
    <col min="14868" max="14868" width="11.5703125" style="172" customWidth="1"/>
    <col min="14869" max="14869" width="13" style="172" customWidth="1"/>
    <col min="14870" max="14870" width="1.42578125" style="172" customWidth="1"/>
    <col min="14871" max="14871" width="10.5703125" style="172" customWidth="1"/>
    <col min="14872" max="15103" width="11" style="172"/>
    <col min="15104" max="15104" width="1.5703125" style="172" customWidth="1"/>
    <col min="15105" max="15105" width="8.5703125" style="172" customWidth="1"/>
    <col min="15106" max="15106" width="28.7109375" style="172" customWidth="1"/>
    <col min="15107" max="15107" width="26.5703125" style="172" customWidth="1"/>
    <col min="15108" max="15108" width="7.7109375" style="172" customWidth="1"/>
    <col min="15109" max="15109" width="19.42578125" style="172" customWidth="1"/>
    <col min="15110" max="15110" width="44.28515625" style="172" customWidth="1"/>
    <col min="15111" max="15111" width="17" style="172" customWidth="1"/>
    <col min="15112" max="15112" width="15.5703125" style="172" customWidth="1"/>
    <col min="15113" max="15113" width="14.140625" style="172" customWidth="1"/>
    <col min="15114" max="15114" width="1.7109375" style="172" customWidth="1"/>
    <col min="15115" max="15115" width="13.7109375" style="172" customWidth="1"/>
    <col min="15116" max="15116" width="13.85546875" style="172" bestFit="1" customWidth="1"/>
    <col min="15117" max="15117" width="2.5703125" style="172" customWidth="1"/>
    <col min="15118" max="15118" width="12.42578125" style="172" customWidth="1"/>
    <col min="15119" max="15119" width="13.5703125" style="172" customWidth="1"/>
    <col min="15120" max="15120" width="2.5703125" style="172" customWidth="1"/>
    <col min="15121" max="15121" width="12.42578125" style="172" customWidth="1"/>
    <col min="15122" max="15122" width="13.5703125" style="172" customWidth="1"/>
    <col min="15123" max="15123" width="2.5703125" style="172" customWidth="1"/>
    <col min="15124" max="15124" width="11.5703125" style="172" customWidth="1"/>
    <col min="15125" max="15125" width="13" style="172" customWidth="1"/>
    <col min="15126" max="15126" width="1.42578125" style="172" customWidth="1"/>
    <col min="15127" max="15127" width="10.5703125" style="172" customWidth="1"/>
    <col min="15128" max="15359" width="11" style="172"/>
    <col min="15360" max="15360" width="1.5703125" style="172" customWidth="1"/>
    <col min="15361" max="15361" width="8.5703125" style="172" customWidth="1"/>
    <col min="15362" max="15362" width="28.7109375" style="172" customWidth="1"/>
    <col min="15363" max="15363" width="26.5703125" style="172" customWidth="1"/>
    <col min="15364" max="15364" width="7.7109375" style="172" customWidth="1"/>
    <col min="15365" max="15365" width="19.42578125" style="172" customWidth="1"/>
    <col min="15366" max="15366" width="44.28515625" style="172" customWidth="1"/>
    <col min="15367" max="15367" width="17" style="172" customWidth="1"/>
    <col min="15368" max="15368" width="15.5703125" style="172" customWidth="1"/>
    <col min="15369" max="15369" width="14.140625" style="172" customWidth="1"/>
    <col min="15370" max="15370" width="1.7109375" style="172" customWidth="1"/>
    <col min="15371" max="15371" width="13.7109375" style="172" customWidth="1"/>
    <col min="15372" max="15372" width="13.85546875" style="172" bestFit="1" customWidth="1"/>
    <col min="15373" max="15373" width="2.5703125" style="172" customWidth="1"/>
    <col min="15374" max="15374" width="12.42578125" style="172" customWidth="1"/>
    <col min="15375" max="15375" width="13.5703125" style="172" customWidth="1"/>
    <col min="15376" max="15376" width="2.5703125" style="172" customWidth="1"/>
    <col min="15377" max="15377" width="12.42578125" style="172" customWidth="1"/>
    <col min="15378" max="15378" width="13.5703125" style="172" customWidth="1"/>
    <col min="15379" max="15379" width="2.5703125" style="172" customWidth="1"/>
    <col min="15380" max="15380" width="11.5703125" style="172" customWidth="1"/>
    <col min="15381" max="15381" width="13" style="172" customWidth="1"/>
    <col min="15382" max="15382" width="1.42578125" style="172" customWidth="1"/>
    <col min="15383" max="15383" width="10.5703125" style="172" customWidth="1"/>
    <col min="15384" max="15615" width="11" style="172"/>
    <col min="15616" max="15616" width="1.5703125" style="172" customWidth="1"/>
    <col min="15617" max="15617" width="8.5703125" style="172" customWidth="1"/>
    <col min="15618" max="15618" width="28.7109375" style="172" customWidth="1"/>
    <col min="15619" max="15619" width="26.5703125" style="172" customWidth="1"/>
    <col min="15620" max="15620" width="7.7109375" style="172" customWidth="1"/>
    <col min="15621" max="15621" width="19.42578125" style="172" customWidth="1"/>
    <col min="15622" max="15622" width="44.28515625" style="172" customWidth="1"/>
    <col min="15623" max="15623" width="17" style="172" customWidth="1"/>
    <col min="15624" max="15624" width="15.5703125" style="172" customWidth="1"/>
    <col min="15625" max="15625" width="14.140625" style="172" customWidth="1"/>
    <col min="15626" max="15626" width="1.7109375" style="172" customWidth="1"/>
    <col min="15627" max="15627" width="13.7109375" style="172" customWidth="1"/>
    <col min="15628" max="15628" width="13.85546875" style="172" bestFit="1" customWidth="1"/>
    <col min="15629" max="15629" width="2.5703125" style="172" customWidth="1"/>
    <col min="15630" max="15630" width="12.42578125" style="172" customWidth="1"/>
    <col min="15631" max="15631" width="13.5703125" style="172" customWidth="1"/>
    <col min="15632" max="15632" width="2.5703125" style="172" customWidth="1"/>
    <col min="15633" max="15633" width="12.42578125" style="172" customWidth="1"/>
    <col min="15634" max="15634" width="13.5703125" style="172" customWidth="1"/>
    <col min="15635" max="15635" width="2.5703125" style="172" customWidth="1"/>
    <col min="15636" max="15636" width="11.5703125" style="172" customWidth="1"/>
    <col min="15637" max="15637" width="13" style="172" customWidth="1"/>
    <col min="15638" max="15638" width="1.42578125" style="172" customWidth="1"/>
    <col min="15639" max="15639" width="10.5703125" style="172" customWidth="1"/>
    <col min="15640" max="15871" width="11" style="172"/>
    <col min="15872" max="15872" width="1.5703125" style="172" customWidth="1"/>
    <col min="15873" max="15873" width="8.5703125" style="172" customWidth="1"/>
    <col min="15874" max="15874" width="28.7109375" style="172" customWidth="1"/>
    <col min="15875" max="15875" width="26.5703125" style="172" customWidth="1"/>
    <col min="15876" max="15876" width="7.7109375" style="172" customWidth="1"/>
    <col min="15877" max="15877" width="19.42578125" style="172" customWidth="1"/>
    <col min="15878" max="15878" width="44.28515625" style="172" customWidth="1"/>
    <col min="15879" max="15879" width="17" style="172" customWidth="1"/>
    <col min="15880" max="15880" width="15.5703125" style="172" customWidth="1"/>
    <col min="15881" max="15881" width="14.140625" style="172" customWidth="1"/>
    <col min="15882" max="15882" width="1.7109375" style="172" customWidth="1"/>
    <col min="15883" max="15883" width="13.7109375" style="172" customWidth="1"/>
    <col min="15884" max="15884" width="13.85546875" style="172" bestFit="1" customWidth="1"/>
    <col min="15885" max="15885" width="2.5703125" style="172" customWidth="1"/>
    <col min="15886" max="15886" width="12.42578125" style="172" customWidth="1"/>
    <col min="15887" max="15887" width="13.5703125" style="172" customWidth="1"/>
    <col min="15888" max="15888" width="2.5703125" style="172" customWidth="1"/>
    <col min="15889" max="15889" width="12.42578125" style="172" customWidth="1"/>
    <col min="15890" max="15890" width="13.5703125" style="172" customWidth="1"/>
    <col min="15891" max="15891" width="2.5703125" style="172" customWidth="1"/>
    <col min="15892" max="15892" width="11.5703125" style="172" customWidth="1"/>
    <col min="15893" max="15893" width="13" style="172" customWidth="1"/>
    <col min="15894" max="15894" width="1.42578125" style="172" customWidth="1"/>
    <col min="15895" max="15895" width="10.5703125" style="172" customWidth="1"/>
    <col min="15896" max="16127" width="11" style="172"/>
    <col min="16128" max="16128" width="1.5703125" style="172" customWidth="1"/>
    <col min="16129" max="16129" width="8.5703125" style="172" customWidth="1"/>
    <col min="16130" max="16130" width="28.7109375" style="172" customWidth="1"/>
    <col min="16131" max="16131" width="26.5703125" style="172" customWidth="1"/>
    <col min="16132" max="16132" width="7.7109375" style="172" customWidth="1"/>
    <col min="16133" max="16133" width="19.42578125" style="172" customWidth="1"/>
    <col min="16134" max="16134" width="44.28515625" style="172" customWidth="1"/>
    <col min="16135" max="16135" width="17" style="172" customWidth="1"/>
    <col min="16136" max="16136" width="15.5703125" style="172" customWidth="1"/>
    <col min="16137" max="16137" width="14.140625" style="172" customWidth="1"/>
    <col min="16138" max="16138" width="1.7109375" style="172" customWidth="1"/>
    <col min="16139" max="16139" width="13.7109375" style="172" customWidth="1"/>
    <col min="16140" max="16140" width="13.85546875" style="172" bestFit="1" customWidth="1"/>
    <col min="16141" max="16141" width="2.5703125" style="172" customWidth="1"/>
    <col min="16142" max="16142" width="12.42578125" style="172" customWidth="1"/>
    <col min="16143" max="16143" width="13.5703125" style="172" customWidth="1"/>
    <col min="16144" max="16144" width="2.5703125" style="172" customWidth="1"/>
    <col min="16145" max="16145" width="12.42578125" style="172" customWidth="1"/>
    <col min="16146" max="16146" width="13.5703125" style="172" customWidth="1"/>
    <col min="16147" max="16147" width="2.5703125" style="172" customWidth="1"/>
    <col min="16148" max="16148" width="11.5703125" style="172" customWidth="1"/>
    <col min="16149" max="16149" width="13" style="172" customWidth="1"/>
    <col min="16150" max="16150" width="1.42578125" style="172" customWidth="1"/>
    <col min="16151" max="16151" width="10.5703125" style="172" customWidth="1"/>
    <col min="16152" max="16384" width="11" style="172"/>
  </cols>
  <sheetData>
    <row r="1" spans="2:23" s="8" customFormat="1" ht="24.75" customHeight="1" x14ac:dyDescent="0.2">
      <c r="B1" s="1217"/>
      <c r="C1" s="1218"/>
      <c r="D1" s="1558" t="s">
        <v>246</v>
      </c>
      <c r="E1" s="1559"/>
      <c r="F1" s="1559" t="s">
        <v>247</v>
      </c>
      <c r="G1" s="1559"/>
      <c r="H1" s="1559"/>
      <c r="I1" s="1559"/>
      <c r="J1" s="1559"/>
      <c r="K1" s="1559"/>
      <c r="L1" s="1559"/>
      <c r="M1" s="1559"/>
      <c r="N1" s="1559"/>
      <c r="O1" s="1559"/>
      <c r="P1" s="1560"/>
      <c r="Q1" s="1557"/>
      <c r="R1" s="1559"/>
      <c r="S1" s="1559"/>
      <c r="T1" s="1559"/>
      <c r="U1" s="1559"/>
      <c r="V1" s="1559"/>
      <c r="W1" s="1561"/>
    </row>
    <row r="2" spans="2:23" s="8" customFormat="1" ht="26.25" customHeight="1" x14ac:dyDescent="0.2">
      <c r="B2" s="1219"/>
      <c r="C2" s="1220"/>
      <c r="D2" s="1563" t="s">
        <v>248</v>
      </c>
      <c r="E2" s="1564"/>
      <c r="F2" s="1564" t="s">
        <v>209</v>
      </c>
      <c r="G2" s="1564"/>
      <c r="H2" s="1564"/>
      <c r="I2" s="1564"/>
      <c r="J2" s="1564"/>
      <c r="K2" s="1564"/>
      <c r="L2" s="1564"/>
      <c r="M2" s="1564"/>
      <c r="N2" s="1564"/>
      <c r="O2" s="1564"/>
      <c r="P2" s="1565"/>
      <c r="Q2" s="1562"/>
      <c r="R2" s="1564"/>
      <c r="S2" s="1564"/>
      <c r="T2" s="1564"/>
      <c r="U2" s="1564"/>
      <c r="V2" s="1564"/>
      <c r="W2" s="1566"/>
    </row>
    <row r="3" spans="2:23" s="8" customFormat="1" ht="30.75" customHeight="1" thickBot="1" x14ac:dyDescent="0.25">
      <c r="B3" s="1221"/>
      <c r="C3" s="1222"/>
      <c r="D3" s="1568" t="s">
        <v>242</v>
      </c>
      <c r="E3" s="1569"/>
      <c r="F3" s="318" t="s">
        <v>251</v>
      </c>
      <c r="G3" s="1650" t="s">
        <v>252</v>
      </c>
      <c r="H3" s="1650"/>
      <c r="I3" s="1650"/>
      <c r="J3" s="1650"/>
      <c r="K3" s="1650"/>
      <c r="L3" s="1650"/>
      <c r="M3" s="1650"/>
      <c r="N3" s="1570" t="s">
        <v>249</v>
      </c>
      <c r="O3" s="1568"/>
      <c r="P3" s="319">
        <v>1</v>
      </c>
      <c r="Q3" s="1567"/>
      <c r="R3" s="1569"/>
      <c r="S3" s="1569"/>
      <c r="T3" s="1569"/>
      <c r="U3" s="1569"/>
      <c r="V3" s="1569"/>
      <c r="W3" s="1571"/>
    </row>
    <row r="4" spans="2:23" ht="18.75" thickBot="1" x14ac:dyDescent="0.25">
      <c r="B4" s="280"/>
      <c r="C4" s="280"/>
      <c r="D4" s="280"/>
      <c r="E4" s="280"/>
      <c r="F4" s="280"/>
      <c r="G4" s="280"/>
      <c r="H4" s="280"/>
      <c r="I4" s="280"/>
      <c r="J4" s="280"/>
      <c r="K4" s="280"/>
      <c r="L4" s="280"/>
      <c r="M4" s="280"/>
      <c r="N4" s="280"/>
      <c r="O4" s="280"/>
      <c r="P4" s="280"/>
      <c r="Q4" s="280"/>
      <c r="R4" s="280"/>
      <c r="S4" s="280"/>
      <c r="T4" s="280"/>
      <c r="U4" s="280"/>
      <c r="V4" s="280"/>
      <c r="W4" s="280"/>
    </row>
    <row r="5" spans="2:23" ht="18.75" customHeight="1" thickBot="1" x14ac:dyDescent="0.25">
      <c r="B5" s="1580" t="s">
        <v>1166</v>
      </c>
      <c r="C5" s="1581"/>
      <c r="D5" s="1580" t="s">
        <v>1165</v>
      </c>
      <c r="E5" s="1581"/>
      <c r="W5" s="191"/>
    </row>
    <row r="6" spans="2:23" ht="18.75" customHeight="1" x14ac:dyDescent="0.2">
      <c r="B6" s="279" t="s">
        <v>180</v>
      </c>
      <c r="C6" s="278" t="s">
        <v>181</v>
      </c>
      <c r="D6" s="279" t="s">
        <v>180</v>
      </c>
      <c r="E6" s="278" t="s">
        <v>181</v>
      </c>
      <c r="W6" s="191"/>
    </row>
    <row r="7" spans="2:23" ht="18.75" customHeight="1" x14ac:dyDescent="0.2">
      <c r="B7" s="277" t="s">
        <v>196</v>
      </c>
      <c r="C7" s="271" t="s">
        <v>198</v>
      </c>
      <c r="D7" s="277" t="s">
        <v>1164</v>
      </c>
      <c r="E7" s="271" t="s">
        <v>198</v>
      </c>
      <c r="F7" s="178"/>
      <c r="G7" s="270"/>
      <c r="I7" s="269"/>
      <c r="W7" s="191"/>
    </row>
    <row r="8" spans="2:23" ht="25.5" x14ac:dyDescent="0.2">
      <c r="B8" s="276" t="s">
        <v>197</v>
      </c>
      <c r="C8" s="271" t="s">
        <v>182</v>
      </c>
      <c r="D8" s="276" t="s">
        <v>1200</v>
      </c>
      <c r="E8" s="271" t="s">
        <v>182</v>
      </c>
      <c r="G8" s="270"/>
      <c r="H8" s="275"/>
      <c r="I8" s="269"/>
      <c r="W8" s="274"/>
    </row>
    <row r="9" spans="2:23" ht="25.5" x14ac:dyDescent="0.2">
      <c r="B9" s="273" t="s">
        <v>194</v>
      </c>
      <c r="C9" s="271" t="s">
        <v>183</v>
      </c>
      <c r="D9" s="273" t="s">
        <v>1201</v>
      </c>
      <c r="E9" s="271" t="s">
        <v>183</v>
      </c>
      <c r="G9" s="270"/>
      <c r="H9" s="270"/>
      <c r="I9" s="269"/>
      <c r="W9" s="264"/>
    </row>
    <row r="10" spans="2:23" ht="15" x14ac:dyDescent="0.2">
      <c r="B10" s="272" t="s">
        <v>195</v>
      </c>
      <c r="C10" s="271" t="s">
        <v>184</v>
      </c>
      <c r="D10" s="272" t="s">
        <v>1159</v>
      </c>
      <c r="E10" s="271" t="s">
        <v>184</v>
      </c>
      <c r="G10" s="270"/>
      <c r="I10" s="269"/>
      <c r="W10" s="264"/>
    </row>
    <row r="11" spans="2:23" ht="15.75" thickBot="1" x14ac:dyDescent="0.25">
      <c r="B11" s="268" t="s">
        <v>185</v>
      </c>
      <c r="C11" s="266" t="s">
        <v>186</v>
      </c>
      <c r="D11" s="267" t="s">
        <v>1158</v>
      </c>
      <c r="E11" s="266" t="s">
        <v>186</v>
      </c>
      <c r="W11" s="264"/>
    </row>
    <row r="12" spans="2:23" ht="15" x14ac:dyDescent="0.2">
      <c r="D12" s="265"/>
      <c r="E12" s="265"/>
      <c r="F12" s="265"/>
      <c r="W12" s="264"/>
    </row>
    <row r="13" spans="2:23" ht="19.5" x14ac:dyDescent="0.25">
      <c r="F13" s="180"/>
      <c r="I13" s="427"/>
      <c r="J13" s="427"/>
    </row>
    <row r="14" spans="2:23" ht="19.5" x14ac:dyDescent="0.25">
      <c r="B14" s="1649" t="s">
        <v>1202</v>
      </c>
      <c r="C14" s="1649"/>
      <c r="E14" s="1649" t="s">
        <v>1203</v>
      </c>
      <c r="F14" s="1649"/>
      <c r="I14" s="1649" t="s">
        <v>1204</v>
      </c>
      <c r="J14" s="1649"/>
      <c r="M14" s="1649" t="s">
        <v>1205</v>
      </c>
      <c r="N14" s="1649"/>
    </row>
    <row r="15" spans="2:23" ht="19.5" x14ac:dyDescent="0.25">
      <c r="B15" s="428"/>
      <c r="C15" s="428"/>
      <c r="E15" s="177"/>
      <c r="I15" s="177"/>
      <c r="M15" s="177"/>
    </row>
    <row r="16" spans="2:23" ht="19.5" x14ac:dyDescent="0.25">
      <c r="B16" s="429" t="s">
        <v>1206</v>
      </c>
      <c r="C16" s="177"/>
      <c r="D16" s="427"/>
      <c r="E16" s="429" t="s">
        <v>1206</v>
      </c>
      <c r="G16" s="172"/>
      <c r="H16" s="172"/>
      <c r="I16" s="429" t="s">
        <v>1206</v>
      </c>
      <c r="K16" s="172"/>
      <c r="M16" s="429" t="s">
        <v>1206</v>
      </c>
      <c r="O16" s="172"/>
      <c r="S16" s="172"/>
    </row>
    <row r="17" spans="2:19" ht="19.5" x14ac:dyDescent="0.25">
      <c r="B17" s="430" t="s">
        <v>1207</v>
      </c>
      <c r="C17" s="431">
        <f>+'[12]Plan de Accion 2018'!AC328</f>
        <v>17235928559.849998</v>
      </c>
      <c r="D17" s="427"/>
      <c r="E17" s="430" t="s">
        <v>1207</v>
      </c>
      <c r="F17" s="431">
        <v>35922847995.809998</v>
      </c>
      <c r="G17" s="172"/>
      <c r="H17" s="172"/>
      <c r="I17" s="430" t="s">
        <v>1207</v>
      </c>
      <c r="J17" s="431">
        <v>56279035497.190002</v>
      </c>
      <c r="K17" s="172"/>
      <c r="L17" s="432"/>
      <c r="M17" s="430" t="s">
        <v>1207</v>
      </c>
      <c r="N17" s="431">
        <f>56279035497.19+13953713987.76</f>
        <v>70232749484.949997</v>
      </c>
      <c r="O17" s="172"/>
      <c r="S17" s="172"/>
    </row>
    <row r="18" spans="2:19" ht="20.25" thickBot="1" x14ac:dyDescent="0.3">
      <c r="B18" s="430" t="s">
        <v>1208</v>
      </c>
      <c r="C18" s="433">
        <f>+'[12]Plan de Accion 2018'!L327</f>
        <v>123940944854</v>
      </c>
      <c r="D18" s="427"/>
      <c r="E18" s="430" t="s">
        <v>1208</v>
      </c>
      <c r="F18" s="433">
        <v>123940944854</v>
      </c>
      <c r="G18" s="172"/>
      <c r="H18" s="174"/>
      <c r="I18" s="430" t="s">
        <v>1208</v>
      </c>
      <c r="J18" s="433">
        <v>123940944854.60999</v>
      </c>
      <c r="K18" s="172"/>
      <c r="M18" s="430" t="s">
        <v>1208</v>
      </c>
      <c r="N18" s="433">
        <v>107533582066.44</v>
      </c>
      <c r="O18" s="172"/>
      <c r="P18" s="434"/>
    </row>
    <row r="19" spans="2:19" ht="20.25" thickBot="1" x14ac:dyDescent="0.3">
      <c r="C19" s="435">
        <f>+C17/C18</f>
        <v>0.13906565405123855</v>
      </c>
      <c r="D19" s="427"/>
      <c r="F19" s="435">
        <f>+F17/F18</f>
        <v>0.28983842295317669</v>
      </c>
      <c r="G19" s="172"/>
      <c r="H19" s="174"/>
      <c r="J19" s="435">
        <f>+J17/J18</f>
        <v>0.45407944536172951</v>
      </c>
      <c r="K19" s="172"/>
      <c r="N19" s="435">
        <f>+N17/N18</f>
        <v>0.65312387195989108</v>
      </c>
      <c r="O19" s="172"/>
    </row>
    <row r="20" spans="2:19" ht="19.5" x14ac:dyDescent="0.25">
      <c r="C20" s="436"/>
      <c r="D20" s="427"/>
      <c r="F20" s="436"/>
      <c r="G20" s="172"/>
      <c r="H20" s="174"/>
      <c r="J20" s="436"/>
      <c r="K20" s="172"/>
      <c r="N20" s="436"/>
      <c r="O20" s="172"/>
    </row>
    <row r="21" spans="2:19" ht="18" x14ac:dyDescent="0.25">
      <c r="B21" s="429" t="s">
        <v>1209</v>
      </c>
      <c r="E21" s="429" t="s">
        <v>1209</v>
      </c>
      <c r="G21" s="172"/>
      <c r="H21" s="174"/>
      <c r="I21" s="429" t="s">
        <v>1209</v>
      </c>
      <c r="K21" s="172"/>
      <c r="M21" s="429" t="s">
        <v>1209</v>
      </c>
      <c r="O21" s="172"/>
    </row>
    <row r="22" spans="2:19" ht="19.5" x14ac:dyDescent="0.25">
      <c r="B22" s="430" t="s">
        <v>1207</v>
      </c>
      <c r="C22" s="431">
        <f>+'[12]Plan de Accion 2018'!AC327</f>
        <v>10741284867605.9</v>
      </c>
      <c r="D22" s="427"/>
      <c r="E22" s="430" t="s">
        <v>1207</v>
      </c>
      <c r="F22" s="431">
        <v>22444626965916.301</v>
      </c>
      <c r="G22" s="172"/>
      <c r="H22" s="174"/>
      <c r="I22" s="430" t="s">
        <v>1207</v>
      </c>
      <c r="J22" s="431">
        <v>34067125570443.301</v>
      </c>
      <c r="K22" s="172"/>
      <c r="M22" s="430" t="s">
        <v>1207</v>
      </c>
      <c r="N22" s="431">
        <f>34067125570443.3+12001295503907</f>
        <v>46068421074350.297</v>
      </c>
      <c r="O22" s="172"/>
    </row>
    <row r="23" spans="2:19" ht="20.25" thickBot="1" x14ac:dyDescent="0.3">
      <c r="B23" s="430" t="s">
        <v>1208</v>
      </c>
      <c r="C23" s="433">
        <f>+'[12]Plan de Accion 2018'!L326</f>
        <v>42726949922000</v>
      </c>
      <c r="D23" s="427"/>
      <c r="E23" s="430" t="s">
        <v>1208</v>
      </c>
      <c r="F23" s="433">
        <v>43128604240962.609</v>
      </c>
      <c r="G23" s="172"/>
      <c r="H23" s="174"/>
      <c r="I23" s="430" t="s">
        <v>1208</v>
      </c>
      <c r="J23" s="431">
        <v>44440604240962</v>
      </c>
      <c r="K23" s="172"/>
      <c r="M23" s="430" t="s">
        <v>1208</v>
      </c>
      <c r="N23" s="431">
        <v>46648156240962</v>
      </c>
      <c r="O23" s="172"/>
    </row>
    <row r="24" spans="2:19" ht="20.25" thickBot="1" x14ac:dyDescent="0.3">
      <c r="C24" s="437">
        <f>+C22/C23</f>
        <v>0.25139367278063629</v>
      </c>
      <c r="D24" s="427"/>
      <c r="F24" s="437">
        <f>+F22/F23</f>
        <v>0.5204116238150569</v>
      </c>
      <c r="G24" s="172"/>
      <c r="H24" s="174"/>
      <c r="J24" s="437">
        <f>+J22/J23</f>
        <v>0.76657656105950944</v>
      </c>
      <c r="K24" s="172"/>
      <c r="N24" s="437">
        <f>+N22/N23</f>
        <v>0.98757217405084419</v>
      </c>
      <c r="O24" s="172"/>
    </row>
    <row r="25" spans="2:19" ht="19.5" x14ac:dyDescent="0.25">
      <c r="C25" s="438"/>
      <c r="D25" s="427"/>
      <c r="F25" s="438"/>
      <c r="G25" s="172"/>
      <c r="H25" s="174"/>
      <c r="J25" s="438"/>
      <c r="K25" s="172"/>
      <c r="N25" s="438"/>
      <c r="O25" s="172"/>
    </row>
    <row r="26" spans="2:19" ht="18" x14ac:dyDescent="0.25">
      <c r="B26" s="429" t="s">
        <v>1210</v>
      </c>
      <c r="E26" s="429" t="s">
        <v>1210</v>
      </c>
      <c r="G26" s="172"/>
      <c r="H26" s="174"/>
      <c r="I26" s="429" t="s">
        <v>1210</v>
      </c>
      <c r="K26" s="172"/>
      <c r="M26" s="429" t="s">
        <v>1210</v>
      </c>
      <c r="O26" s="172"/>
    </row>
    <row r="27" spans="2:19" ht="18" x14ac:dyDescent="0.25">
      <c r="B27" s="430" t="s">
        <v>1207</v>
      </c>
      <c r="C27" s="431">
        <f>+C17+C22</f>
        <v>10758520796165.75</v>
      </c>
      <c r="E27" s="430" t="s">
        <v>1207</v>
      </c>
      <c r="F27" s="431">
        <v>22480549813912.109</v>
      </c>
      <c r="G27" s="172"/>
      <c r="H27" s="174"/>
      <c r="I27" s="430" t="s">
        <v>1207</v>
      </c>
      <c r="J27" s="431">
        <f>+J17+J22</f>
        <v>34123404605940.492</v>
      </c>
      <c r="K27" s="172"/>
      <c r="M27" s="430" t="s">
        <v>1207</v>
      </c>
      <c r="N27" s="431">
        <f>+N17+N22</f>
        <v>46138653823835.25</v>
      </c>
      <c r="O27" s="172"/>
    </row>
    <row r="28" spans="2:19" ht="18.75" thickBot="1" x14ac:dyDescent="0.3">
      <c r="B28" s="430" t="s">
        <v>1208</v>
      </c>
      <c r="C28" s="433">
        <f>+C18+C23</f>
        <v>42850890866854</v>
      </c>
      <c r="E28" s="430" t="s">
        <v>1208</v>
      </c>
      <c r="F28" s="433">
        <v>43252545185816.609</v>
      </c>
      <c r="G28" s="172"/>
      <c r="H28" s="174"/>
      <c r="I28" s="430" t="s">
        <v>1208</v>
      </c>
      <c r="J28" s="433">
        <f>+J18+J23</f>
        <v>44564545185816.609</v>
      </c>
      <c r="K28" s="172"/>
      <c r="M28" s="430" t="s">
        <v>1208</v>
      </c>
      <c r="N28" s="433">
        <f>+N18+N23</f>
        <v>46755689823028.438</v>
      </c>
      <c r="O28" s="172"/>
    </row>
    <row r="29" spans="2:19" ht="20.25" thickBot="1" x14ac:dyDescent="0.3">
      <c r="C29" s="437">
        <f>+C27/C28</f>
        <v>0.25106877776694431</v>
      </c>
      <c r="F29" s="437">
        <f>+F27/F28</f>
        <v>0.51975091216791425</v>
      </c>
      <c r="G29" s="172"/>
      <c r="H29" s="174"/>
      <c r="J29" s="437">
        <f>+J27/J28</f>
        <v>0.76570745788292749</v>
      </c>
      <c r="K29" s="172"/>
      <c r="N29" s="437">
        <f>+N27/N28</f>
        <v>0.9868029751773808</v>
      </c>
      <c r="O29" s="172"/>
    </row>
    <row r="30" spans="2:19" x14ac:dyDescent="0.2">
      <c r="F30" s="175"/>
      <c r="H30" s="172"/>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657" t="s">
        <v>259</v>
      </c>
      <c r="B1" s="1657"/>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629</v>
      </c>
      <c r="L4" s="2" t="s">
        <v>631</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628</v>
      </c>
      <c r="K5" s="29"/>
      <c r="L5" s="2" t="s">
        <v>632</v>
      </c>
      <c r="N5" s="2" t="s">
        <v>1039</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630</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633</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1035</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402</v>
      </c>
      <c r="H11" s="37" t="s">
        <v>297</v>
      </c>
      <c r="K11" s="29"/>
      <c r="L11" s="37"/>
      <c r="N11" s="2" t="s">
        <v>75</v>
      </c>
      <c r="P11" s="1"/>
      <c r="Q11" s="31"/>
      <c r="R11" s="52" t="s">
        <v>505</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842</v>
      </c>
      <c r="S13" s="35" t="s">
        <v>87</v>
      </c>
      <c r="U13" s="2" t="s">
        <v>42</v>
      </c>
      <c r="Y13" s="32">
        <v>11900</v>
      </c>
    </row>
    <row r="14" spans="1:25" ht="45" x14ac:dyDescent="0.25">
      <c r="A14" s="32">
        <v>12000</v>
      </c>
      <c r="B14" s="32" t="s">
        <v>15</v>
      </c>
      <c r="H14" s="37" t="s">
        <v>299</v>
      </c>
      <c r="N14" s="2" t="s">
        <v>1036</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1034</v>
      </c>
      <c r="P16" s="1"/>
      <c r="Q16" s="31"/>
      <c r="R16" s="53"/>
      <c r="S16" s="35" t="s">
        <v>146</v>
      </c>
      <c r="U16" s="2" t="s">
        <v>43</v>
      </c>
    </row>
    <row r="17" spans="8:21" ht="30" x14ac:dyDescent="0.25">
      <c r="H17" s="37" t="s">
        <v>304</v>
      </c>
      <c r="N17" s="2" t="s">
        <v>1037</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1038</v>
      </c>
      <c r="P19" s="1"/>
      <c r="Q19" s="31"/>
      <c r="R19" s="1651" t="s">
        <v>2</v>
      </c>
      <c r="S19" s="40" t="s">
        <v>156</v>
      </c>
      <c r="U19" s="2" t="s">
        <v>307</v>
      </c>
    </row>
    <row r="20" spans="8:21" ht="30" x14ac:dyDescent="0.25">
      <c r="H20" s="37" t="s">
        <v>308</v>
      </c>
      <c r="N20" s="2" t="s">
        <v>80</v>
      </c>
      <c r="P20" s="1"/>
      <c r="Q20" s="31"/>
      <c r="R20" s="1652"/>
      <c r="S20" s="41" t="s">
        <v>91</v>
      </c>
      <c r="U20" s="2" t="s">
        <v>309</v>
      </c>
    </row>
    <row r="21" spans="8:21" ht="30" x14ac:dyDescent="0.25">
      <c r="H21" s="37" t="s">
        <v>25</v>
      </c>
      <c r="N21" s="2" t="s">
        <v>1040</v>
      </c>
      <c r="P21" s="1"/>
      <c r="Q21" s="31"/>
      <c r="R21" s="1652"/>
      <c r="S21" s="35" t="s">
        <v>163</v>
      </c>
      <c r="U21" s="2" t="s">
        <v>310</v>
      </c>
    </row>
    <row r="22" spans="8:21" ht="30" customHeight="1" x14ac:dyDescent="0.25">
      <c r="N22" s="2" t="s">
        <v>81</v>
      </c>
      <c r="P22" s="1"/>
      <c r="Q22" s="31"/>
      <c r="R22" s="1652"/>
      <c r="S22" s="35" t="s">
        <v>157</v>
      </c>
      <c r="U22" s="2" t="s">
        <v>311</v>
      </c>
    </row>
    <row r="23" spans="8:21" x14ac:dyDescent="0.25">
      <c r="N23" s="2" t="s">
        <v>82</v>
      </c>
      <c r="P23" s="1"/>
      <c r="Q23" s="31"/>
      <c r="R23" s="1652"/>
      <c r="S23" s="35" t="s">
        <v>158</v>
      </c>
      <c r="U23" s="2" t="s">
        <v>45</v>
      </c>
    </row>
    <row r="24" spans="8:21" ht="45" customHeight="1" x14ac:dyDescent="0.25">
      <c r="N24" s="2" t="s">
        <v>1033</v>
      </c>
      <c r="P24" s="1"/>
      <c r="Q24" s="31"/>
      <c r="R24" s="1652"/>
      <c r="S24" s="42" t="s">
        <v>164</v>
      </c>
      <c r="U24" s="2" t="s">
        <v>312</v>
      </c>
    </row>
    <row r="25" spans="8:21" ht="45" customHeight="1" x14ac:dyDescent="0.25">
      <c r="N25" s="64" t="s">
        <v>1041</v>
      </c>
      <c r="R25" s="1652"/>
      <c r="S25" s="43"/>
      <c r="U25" s="64" t="s">
        <v>204</v>
      </c>
    </row>
    <row r="26" spans="8:21" x14ac:dyDescent="0.25">
      <c r="N26" s="64" t="s">
        <v>1042</v>
      </c>
      <c r="R26" s="1658"/>
      <c r="S26" s="42"/>
    </row>
    <row r="27" spans="8:21" ht="45.75" customHeight="1" x14ac:dyDescent="0.25">
      <c r="N27" s="64" t="s">
        <v>1043</v>
      </c>
      <c r="R27" s="1659" t="s">
        <v>14</v>
      </c>
      <c r="S27" s="38" t="s">
        <v>133</v>
      </c>
    </row>
    <row r="28" spans="8:21" ht="45" customHeight="1" x14ac:dyDescent="0.25">
      <c r="N28" s="2" t="s">
        <v>1044</v>
      </c>
      <c r="R28" s="1659"/>
      <c r="S28" s="38" t="s">
        <v>134</v>
      </c>
    </row>
    <row r="29" spans="8:21" x14ac:dyDescent="0.25">
      <c r="N29" s="37" t="s">
        <v>1045</v>
      </c>
      <c r="R29" s="1659"/>
      <c r="S29" s="38" t="s">
        <v>135</v>
      </c>
    </row>
    <row r="30" spans="8:21" ht="30" x14ac:dyDescent="0.25">
      <c r="N30" s="37" t="s">
        <v>1046</v>
      </c>
      <c r="R30" s="1659"/>
      <c r="S30" s="38" t="s">
        <v>313</v>
      </c>
    </row>
    <row r="31" spans="8:21" ht="30" x14ac:dyDescent="0.25">
      <c r="N31" s="37" t="s">
        <v>1047</v>
      </c>
      <c r="R31" s="1659"/>
      <c r="S31" s="38" t="s">
        <v>170</v>
      </c>
    </row>
    <row r="32" spans="8:21" ht="30" x14ac:dyDescent="0.25">
      <c r="N32" s="64" t="s">
        <v>1048</v>
      </c>
      <c r="R32" s="1659"/>
      <c r="S32" s="38" t="s">
        <v>136</v>
      </c>
    </row>
    <row r="33" spans="2:19" x14ac:dyDescent="0.25">
      <c r="N33" s="37" t="s">
        <v>1049</v>
      </c>
      <c r="R33" s="1659"/>
      <c r="S33" s="38" t="s">
        <v>314</v>
      </c>
    </row>
    <row r="34" spans="2:19" x14ac:dyDescent="0.25">
      <c r="R34" s="1659"/>
      <c r="S34" s="38" t="s">
        <v>165</v>
      </c>
    </row>
    <row r="35" spans="2:19" ht="30" customHeight="1" x14ac:dyDescent="0.25">
      <c r="R35" s="1659"/>
      <c r="S35" s="36" t="s">
        <v>167</v>
      </c>
    </row>
    <row r="36" spans="2:19" x14ac:dyDescent="0.25">
      <c r="R36" s="1659"/>
      <c r="S36" s="36" t="s">
        <v>168</v>
      </c>
    </row>
    <row r="37" spans="2:19" x14ac:dyDescent="0.25">
      <c r="R37" s="1659"/>
      <c r="S37" s="36" t="s">
        <v>166</v>
      </c>
    </row>
    <row r="38" spans="2:19" ht="30" x14ac:dyDescent="0.25">
      <c r="R38" s="1659"/>
      <c r="S38" s="36" t="s">
        <v>222</v>
      </c>
    </row>
    <row r="39" spans="2:19" ht="30" x14ac:dyDescent="0.25">
      <c r="R39" s="1659"/>
      <c r="S39" s="36" t="s">
        <v>221</v>
      </c>
    </row>
    <row r="40" spans="2:19" x14ac:dyDescent="0.25">
      <c r="R40" s="1659"/>
      <c r="S40" s="36" t="s">
        <v>315</v>
      </c>
    </row>
    <row r="41" spans="2:19" ht="45" x14ac:dyDescent="0.25">
      <c r="R41" s="1659"/>
      <c r="S41" s="36" t="s">
        <v>316</v>
      </c>
    </row>
    <row r="42" spans="2:19" x14ac:dyDescent="0.25">
      <c r="R42" s="1659"/>
      <c r="S42" s="36" t="s">
        <v>317</v>
      </c>
    </row>
    <row r="43" spans="2:19" ht="45" x14ac:dyDescent="0.25">
      <c r="R43" s="1659"/>
      <c r="S43" s="36" t="s">
        <v>318</v>
      </c>
    </row>
    <row r="44" spans="2:19" ht="30" x14ac:dyDescent="0.25">
      <c r="R44" s="1659"/>
      <c r="S44" s="36" t="s">
        <v>319</v>
      </c>
    </row>
    <row r="45" spans="2:19" ht="30" x14ac:dyDescent="0.25">
      <c r="R45" s="1659"/>
      <c r="S45" s="36" t="s">
        <v>320</v>
      </c>
    </row>
    <row r="46" spans="2:19" x14ac:dyDescent="0.25">
      <c r="R46" s="1659"/>
      <c r="S46" s="36" t="s">
        <v>321</v>
      </c>
    </row>
    <row r="47" spans="2:19" ht="30" x14ac:dyDescent="0.25">
      <c r="B47" s="44"/>
      <c r="R47" s="1659"/>
      <c r="S47" s="36" t="s">
        <v>171</v>
      </c>
    </row>
    <row r="48" spans="2:19" ht="30" x14ac:dyDescent="0.25">
      <c r="R48" s="1660" t="s">
        <v>3</v>
      </c>
      <c r="S48" s="45" t="s">
        <v>120</v>
      </c>
    </row>
    <row r="49" spans="18:19" x14ac:dyDescent="0.25">
      <c r="R49" s="1660"/>
      <c r="S49" s="41" t="s">
        <v>121</v>
      </c>
    </row>
    <row r="50" spans="18:19" ht="30" x14ac:dyDescent="0.25">
      <c r="R50" s="1660"/>
      <c r="S50" s="41" t="s">
        <v>122</v>
      </c>
    </row>
    <row r="51" spans="18:19" ht="30" x14ac:dyDescent="0.25">
      <c r="R51" s="1660"/>
      <c r="S51" s="41" t="s">
        <v>123</v>
      </c>
    </row>
    <row r="52" spans="18:19" ht="45.75" thickBot="1" x14ac:dyDescent="0.3">
      <c r="R52" s="1661"/>
      <c r="S52" s="46" t="s">
        <v>124</v>
      </c>
    </row>
    <row r="53" spans="18:19" ht="30" x14ac:dyDescent="0.25">
      <c r="R53" s="1662" t="s">
        <v>125</v>
      </c>
      <c r="S53" s="40" t="s">
        <v>130</v>
      </c>
    </row>
    <row r="54" spans="18:19" ht="30" x14ac:dyDescent="0.25">
      <c r="R54" s="1660"/>
      <c r="S54" s="41" t="s">
        <v>137</v>
      </c>
    </row>
    <row r="55" spans="18:19" ht="45" x14ac:dyDescent="0.25">
      <c r="R55" s="1660"/>
      <c r="S55" s="41" t="s">
        <v>132</v>
      </c>
    </row>
    <row r="56" spans="18:19" ht="30" x14ac:dyDescent="0.25">
      <c r="R56" s="1660"/>
      <c r="S56" s="41" t="s">
        <v>138</v>
      </c>
    </row>
    <row r="57" spans="18:19" ht="30" x14ac:dyDescent="0.25">
      <c r="R57" s="1660"/>
      <c r="S57" s="41" t="s">
        <v>322</v>
      </c>
    </row>
    <row r="58" spans="18:19" ht="60" x14ac:dyDescent="0.25">
      <c r="R58" s="1660"/>
      <c r="S58" s="41" t="s">
        <v>323</v>
      </c>
    </row>
    <row r="59" spans="18:19" ht="45" x14ac:dyDescent="0.25">
      <c r="R59" s="1660"/>
      <c r="S59" s="41" t="s">
        <v>139</v>
      </c>
    </row>
    <row r="60" spans="18:19" ht="45" x14ac:dyDescent="0.25">
      <c r="R60" s="1660"/>
      <c r="S60" s="41" t="s">
        <v>324</v>
      </c>
    </row>
    <row r="61" spans="18:19" ht="30" x14ac:dyDescent="0.25">
      <c r="R61" s="1660"/>
      <c r="S61" s="41" t="s">
        <v>325</v>
      </c>
    </row>
    <row r="62" spans="18:19" ht="45" x14ac:dyDescent="0.25">
      <c r="R62" s="1660"/>
      <c r="S62" s="41" t="s">
        <v>140</v>
      </c>
    </row>
    <row r="63" spans="18:19" ht="45" x14ac:dyDescent="0.25">
      <c r="R63" s="1660"/>
      <c r="S63" s="43" t="s">
        <v>178</v>
      </c>
    </row>
    <row r="64" spans="18:19" x14ac:dyDescent="0.25">
      <c r="R64" s="1660"/>
      <c r="S64" s="43" t="s">
        <v>187</v>
      </c>
    </row>
    <row r="65" spans="18:19" ht="30" x14ac:dyDescent="0.25">
      <c r="R65" s="1660"/>
      <c r="S65" s="43" t="s">
        <v>233</v>
      </c>
    </row>
    <row r="66" spans="18:19" ht="60" x14ac:dyDescent="0.25">
      <c r="R66" s="1660"/>
      <c r="S66" s="47" t="s">
        <v>236</v>
      </c>
    </row>
    <row r="67" spans="18:19" ht="75" x14ac:dyDescent="0.25">
      <c r="R67" s="1660"/>
      <c r="S67" s="47" t="s">
        <v>235</v>
      </c>
    </row>
    <row r="68" spans="18:19" ht="45.75" thickBot="1" x14ac:dyDescent="0.3">
      <c r="R68" s="1660"/>
      <c r="S68" s="47" t="s">
        <v>234</v>
      </c>
    </row>
    <row r="69" spans="18:19" x14ac:dyDescent="0.25">
      <c r="R69" s="1651" t="s">
        <v>162</v>
      </c>
      <c r="S69" s="40" t="s">
        <v>172</v>
      </c>
    </row>
    <row r="70" spans="18:19" ht="45" x14ac:dyDescent="0.25">
      <c r="R70" s="1652"/>
      <c r="S70" s="41" t="s">
        <v>173</v>
      </c>
    </row>
    <row r="71" spans="18:19" x14ac:dyDescent="0.25">
      <c r="R71" s="1652"/>
      <c r="S71" s="41" t="s">
        <v>174</v>
      </c>
    </row>
    <row r="72" spans="18:19" ht="30" x14ac:dyDescent="0.25">
      <c r="R72" s="1652"/>
      <c r="S72" s="41" t="s">
        <v>159</v>
      </c>
    </row>
    <row r="73" spans="18:19" x14ac:dyDescent="0.25">
      <c r="R73" s="1652"/>
      <c r="S73" s="41" t="s">
        <v>160</v>
      </c>
    </row>
    <row r="74" spans="18:19" ht="30" x14ac:dyDescent="0.25">
      <c r="R74" s="1652"/>
      <c r="S74" s="41" t="s">
        <v>161</v>
      </c>
    </row>
    <row r="75" spans="18:19" ht="45" x14ac:dyDescent="0.25">
      <c r="R75" s="1652"/>
      <c r="S75" s="41" t="s">
        <v>175</v>
      </c>
    </row>
    <row r="76" spans="18:19" ht="15.75" thickBot="1" x14ac:dyDescent="0.3">
      <c r="R76" s="1653"/>
      <c r="S76" s="48"/>
    </row>
    <row r="77" spans="18:19" ht="30" x14ac:dyDescent="0.25">
      <c r="R77" s="1654" t="s">
        <v>1</v>
      </c>
      <c r="S77" s="49" t="s">
        <v>326</v>
      </c>
    </row>
    <row r="78" spans="18:19" ht="45" x14ac:dyDescent="0.25">
      <c r="R78" s="1655"/>
      <c r="S78" s="50" t="s">
        <v>237</v>
      </c>
    </row>
    <row r="79" spans="18:19" ht="30" x14ac:dyDescent="0.25">
      <c r="R79" s="1655"/>
      <c r="S79" s="50" t="s">
        <v>327</v>
      </c>
    </row>
    <row r="80" spans="18:19" ht="45.75" thickBot="1" x14ac:dyDescent="0.3">
      <c r="R80" s="1656"/>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16" t="s">
        <v>978</v>
      </c>
      <c r="B1" s="117" t="s">
        <v>981</v>
      </c>
      <c r="C1" s="117" t="s">
        <v>982</v>
      </c>
      <c r="D1" s="117" t="s">
        <v>983</v>
      </c>
      <c r="E1" s="117" t="s">
        <v>980</v>
      </c>
      <c r="F1" s="117" t="s">
        <v>987</v>
      </c>
      <c r="G1" s="117" t="s">
        <v>979</v>
      </c>
      <c r="H1" s="117" t="s">
        <v>985</v>
      </c>
      <c r="I1" s="117" t="s">
        <v>984</v>
      </c>
      <c r="J1" s="117" t="s">
        <v>986</v>
      </c>
      <c r="K1" s="118" t="s">
        <v>997</v>
      </c>
    </row>
    <row r="2" spans="1:16" ht="28.5" x14ac:dyDescent="0.25">
      <c r="A2" s="109" t="s">
        <v>988</v>
      </c>
      <c r="B2" s="106">
        <v>0</v>
      </c>
      <c r="C2" s="106">
        <v>0</v>
      </c>
      <c r="D2" s="106">
        <v>0</v>
      </c>
      <c r="E2" s="106"/>
      <c r="F2" s="106"/>
      <c r="G2" s="106">
        <v>3</v>
      </c>
      <c r="H2" s="106"/>
      <c r="I2" s="106"/>
      <c r="J2" s="106"/>
      <c r="K2" s="110">
        <f>SUM(B2:J2)</f>
        <v>3</v>
      </c>
    </row>
    <row r="3" spans="1:16" x14ac:dyDescent="0.25">
      <c r="A3" s="109" t="s">
        <v>989</v>
      </c>
      <c r="B3" s="107">
        <v>905259596</v>
      </c>
      <c r="C3" s="107">
        <v>709814969</v>
      </c>
      <c r="D3" s="107">
        <v>40295380870</v>
      </c>
      <c r="E3" s="107">
        <v>1399424829</v>
      </c>
      <c r="F3" s="107">
        <v>12447687914</v>
      </c>
      <c r="G3" s="107">
        <v>1882022599</v>
      </c>
      <c r="H3" s="107">
        <v>2668206982</v>
      </c>
      <c r="I3" s="107">
        <v>0</v>
      </c>
      <c r="J3" s="107">
        <v>0</v>
      </c>
      <c r="K3" s="111">
        <f>SUM(B3:J3)</f>
        <v>60307797759</v>
      </c>
    </row>
    <row r="4" spans="1:16" x14ac:dyDescent="0.25">
      <c r="A4" s="109" t="s">
        <v>842</v>
      </c>
      <c r="B4" s="106">
        <v>0</v>
      </c>
      <c r="C4" s="106">
        <v>0</v>
      </c>
      <c r="D4" s="106">
        <v>0</v>
      </c>
      <c r="E4" s="106"/>
      <c r="F4" s="108"/>
      <c r="G4" s="108">
        <v>3</v>
      </c>
      <c r="H4" s="108"/>
      <c r="I4" s="108"/>
      <c r="J4" s="108"/>
      <c r="K4" s="110">
        <f t="shared" ref="K4:K13" si="0">SUM(B4:J4)</f>
        <v>3</v>
      </c>
    </row>
    <row r="5" spans="1:16" ht="28.5" x14ac:dyDescent="0.25">
      <c r="A5" s="109" t="s">
        <v>990</v>
      </c>
      <c r="B5" s="106">
        <v>0</v>
      </c>
      <c r="C5" s="106">
        <v>0</v>
      </c>
      <c r="D5" s="106">
        <v>0</v>
      </c>
      <c r="E5" s="106"/>
      <c r="F5" s="108"/>
      <c r="G5" s="108"/>
      <c r="H5" s="108"/>
      <c r="I5" s="108"/>
      <c r="J5" s="108"/>
      <c r="K5" s="110">
        <f t="shared" si="0"/>
        <v>0</v>
      </c>
    </row>
    <row r="6" spans="1:16" x14ac:dyDescent="0.25">
      <c r="A6" s="109" t="s">
        <v>991</v>
      </c>
      <c r="B6" s="106">
        <v>0</v>
      </c>
      <c r="C6" s="106">
        <v>0</v>
      </c>
      <c r="D6" s="106">
        <v>0</v>
      </c>
      <c r="E6" s="106"/>
      <c r="F6" s="108"/>
      <c r="G6" s="108"/>
      <c r="H6" s="108"/>
      <c r="I6" s="108"/>
      <c r="J6" s="108"/>
      <c r="K6" s="110">
        <f t="shared" si="0"/>
        <v>0</v>
      </c>
    </row>
    <row r="7" spans="1:16" x14ac:dyDescent="0.25">
      <c r="A7" s="109" t="s">
        <v>500</v>
      </c>
      <c r="B7" s="106">
        <v>0</v>
      </c>
      <c r="C7" s="106">
        <v>0</v>
      </c>
      <c r="D7" s="106">
        <v>0</v>
      </c>
      <c r="E7" s="106"/>
      <c r="F7" s="108">
        <v>1</v>
      </c>
      <c r="G7" s="108">
        <f>1+18</f>
        <v>19</v>
      </c>
      <c r="H7" s="108"/>
      <c r="I7" s="108"/>
      <c r="J7" s="108"/>
      <c r="K7" s="110">
        <f t="shared" si="0"/>
        <v>20</v>
      </c>
    </row>
    <row r="8" spans="1:16" x14ac:dyDescent="0.25">
      <c r="A8" s="109" t="s">
        <v>992</v>
      </c>
      <c r="B8" s="106">
        <v>0</v>
      </c>
      <c r="C8" s="106">
        <v>0</v>
      </c>
      <c r="D8" s="106">
        <v>0</v>
      </c>
      <c r="E8" s="106"/>
      <c r="F8" s="108"/>
      <c r="G8" s="108">
        <v>9</v>
      </c>
      <c r="H8" s="108"/>
      <c r="I8" s="108"/>
      <c r="J8" s="108"/>
      <c r="K8" s="110">
        <f t="shared" si="0"/>
        <v>9</v>
      </c>
    </row>
    <row r="9" spans="1:16" ht="28.5" x14ac:dyDescent="0.25">
      <c r="A9" s="109" t="s">
        <v>993</v>
      </c>
      <c r="B9" s="106">
        <v>0</v>
      </c>
      <c r="C9" s="106">
        <v>0</v>
      </c>
      <c r="D9" s="106">
        <v>0</v>
      </c>
      <c r="E9" s="106"/>
      <c r="F9" s="108"/>
      <c r="G9" s="108">
        <f>16+1+1+1</f>
        <v>19</v>
      </c>
      <c r="H9" s="108"/>
      <c r="I9" s="108"/>
      <c r="J9" s="108"/>
      <c r="K9" s="110">
        <f t="shared" si="0"/>
        <v>19</v>
      </c>
    </row>
    <row r="10" spans="1:16" ht="28.5" x14ac:dyDescent="0.25">
      <c r="A10" s="109" t="s">
        <v>336</v>
      </c>
      <c r="B10" s="106">
        <v>6</v>
      </c>
      <c r="C10" s="106">
        <v>0</v>
      </c>
      <c r="D10" s="106">
        <v>1</v>
      </c>
      <c r="E10" s="106"/>
      <c r="F10" s="108">
        <f>2+1</f>
        <v>3</v>
      </c>
      <c r="G10" s="108">
        <f>8+1</f>
        <v>9</v>
      </c>
      <c r="H10" s="108"/>
      <c r="I10" s="108">
        <v>8</v>
      </c>
      <c r="J10" s="108">
        <v>1</v>
      </c>
      <c r="K10" s="110">
        <f t="shared" si="0"/>
        <v>28</v>
      </c>
    </row>
    <row r="11" spans="1:16" ht="28.5" x14ac:dyDescent="0.25">
      <c r="A11" s="109" t="s">
        <v>331</v>
      </c>
      <c r="B11" s="106">
        <v>0</v>
      </c>
      <c r="C11" s="106">
        <v>0</v>
      </c>
      <c r="D11" s="106">
        <v>0</v>
      </c>
      <c r="E11" s="106"/>
      <c r="F11" s="108">
        <v>1</v>
      </c>
      <c r="G11" s="108"/>
      <c r="H11" s="108"/>
      <c r="I11" s="108"/>
      <c r="J11" s="108"/>
      <c r="K11" s="110">
        <f t="shared" si="0"/>
        <v>1</v>
      </c>
    </row>
    <row r="12" spans="1:16" ht="42.75" x14ac:dyDescent="0.25">
      <c r="A12" s="109" t="s">
        <v>994</v>
      </c>
      <c r="B12" s="106">
        <v>0</v>
      </c>
      <c r="C12" s="106">
        <v>0</v>
      </c>
      <c r="D12" s="106">
        <v>0</v>
      </c>
      <c r="E12" s="106"/>
      <c r="F12" s="108">
        <v>2</v>
      </c>
      <c r="G12" s="108"/>
      <c r="H12" s="108"/>
      <c r="I12" s="108"/>
      <c r="J12" s="108"/>
      <c r="K12" s="110">
        <f t="shared" si="0"/>
        <v>2</v>
      </c>
    </row>
    <row r="13" spans="1:16" ht="28.5" x14ac:dyDescent="0.25">
      <c r="A13" s="109" t="s">
        <v>995</v>
      </c>
      <c r="B13" s="106">
        <v>0</v>
      </c>
      <c r="C13" s="106">
        <v>0</v>
      </c>
      <c r="D13" s="106">
        <v>0</v>
      </c>
      <c r="E13" s="106"/>
      <c r="F13" s="108">
        <f>6+1+1</f>
        <v>8</v>
      </c>
      <c r="G13" s="108"/>
      <c r="H13" s="108"/>
      <c r="I13" s="108"/>
      <c r="J13" s="108"/>
      <c r="K13" s="110">
        <f t="shared" si="0"/>
        <v>8</v>
      </c>
    </row>
    <row r="14" spans="1:16" ht="15.75" thickBot="1" x14ac:dyDescent="0.3">
      <c r="A14" s="112" t="s">
        <v>996</v>
      </c>
      <c r="B14" s="113">
        <v>2</v>
      </c>
      <c r="C14" s="113">
        <v>10</v>
      </c>
      <c r="D14" s="113">
        <v>9</v>
      </c>
      <c r="E14" s="113">
        <v>7</v>
      </c>
      <c r="F14" s="114">
        <f>13+1+1+6</f>
        <v>21</v>
      </c>
      <c r="G14" s="114">
        <v>6</v>
      </c>
      <c r="H14" s="114">
        <v>18</v>
      </c>
      <c r="I14" s="114">
        <v>3</v>
      </c>
      <c r="J14" s="114">
        <v>6</v>
      </c>
      <c r="K14" s="115">
        <f>SUM(B14:J14)</f>
        <v>82</v>
      </c>
    </row>
    <row r="15" spans="1:16" ht="6.75" customHeight="1" thickBot="1" x14ac:dyDescent="0.3">
      <c r="A15" s="97"/>
      <c r="B15" s="100"/>
      <c r="C15" s="100"/>
      <c r="D15" s="100"/>
      <c r="E15" s="100"/>
      <c r="F15" s="100"/>
      <c r="G15" s="100"/>
      <c r="H15" s="100"/>
      <c r="I15" s="100"/>
      <c r="J15" s="100"/>
      <c r="K15" s="100"/>
    </row>
    <row r="16" spans="1:16" ht="19.5" thickBot="1" x14ac:dyDescent="0.35">
      <c r="A16" s="101" t="s">
        <v>998</v>
      </c>
      <c r="B16" s="104">
        <f>+B2+B4+B5+B6+B7+B8+B9+B10+B11+B12+B13+B14</f>
        <v>8</v>
      </c>
      <c r="C16" s="104">
        <f t="shared" ref="C16:J16" si="1">+C2+C4+C5+C6+C7+C8+C9+C10+C11+C12+C13+C14</f>
        <v>10</v>
      </c>
      <c r="D16" s="104">
        <f t="shared" si="1"/>
        <v>10</v>
      </c>
      <c r="E16" s="104">
        <f t="shared" si="1"/>
        <v>7</v>
      </c>
      <c r="F16" s="104">
        <f t="shared" si="1"/>
        <v>36</v>
      </c>
      <c r="G16" s="104">
        <f t="shared" si="1"/>
        <v>68</v>
      </c>
      <c r="H16" s="104">
        <f t="shared" si="1"/>
        <v>18</v>
      </c>
      <c r="I16" s="104">
        <f t="shared" si="1"/>
        <v>11</v>
      </c>
      <c r="J16" s="104">
        <f t="shared" si="1"/>
        <v>7</v>
      </c>
      <c r="K16" s="105">
        <f>+K2+K4+K5+K6+K7+K8+K9+K10+K11+K12+K13+K14</f>
        <v>175</v>
      </c>
      <c r="L16" s="84"/>
      <c r="M16" s="84"/>
      <c r="N16" s="84"/>
      <c r="O16" s="84"/>
      <c r="P16" s="84"/>
    </row>
    <row r="17" spans="1:14" ht="5.25" customHeight="1" thickBot="1" x14ac:dyDescent="0.35">
      <c r="K17" s="98"/>
    </row>
    <row r="18" spans="1:14" ht="19.5" thickBot="1" x14ac:dyDescent="0.35">
      <c r="A18" s="101" t="s">
        <v>999</v>
      </c>
      <c r="B18" s="102">
        <f t="shared" ref="B18:K18" si="2">+B3</f>
        <v>905259596</v>
      </c>
      <c r="C18" s="102">
        <f t="shared" si="2"/>
        <v>709814969</v>
      </c>
      <c r="D18" s="102">
        <f t="shared" si="2"/>
        <v>40295380870</v>
      </c>
      <c r="E18" s="102">
        <f t="shared" si="2"/>
        <v>1399424829</v>
      </c>
      <c r="F18" s="102">
        <f t="shared" si="2"/>
        <v>12447687914</v>
      </c>
      <c r="G18" s="102">
        <f t="shared" si="2"/>
        <v>1882022599</v>
      </c>
      <c r="H18" s="102">
        <f t="shared" si="2"/>
        <v>2668206982</v>
      </c>
      <c r="I18" s="102">
        <f t="shared" si="2"/>
        <v>0</v>
      </c>
      <c r="J18" s="102">
        <f t="shared" si="2"/>
        <v>0</v>
      </c>
      <c r="K18" s="103">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79"/>
  <sheetViews>
    <sheetView showGridLines="0" workbookViewId="0">
      <selection activeCell="C3" sqref="C3"/>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48" hidden="1" customWidth="1"/>
    <col min="10" max="10" width="38.5703125" style="448" hidden="1" customWidth="1"/>
    <col min="11" max="11" width="36.140625" customWidth="1"/>
  </cols>
  <sheetData>
    <row r="2" spans="1:10" x14ac:dyDescent="0.25">
      <c r="A2" s="1663" t="s">
        <v>1237</v>
      </c>
      <c r="B2" s="1663"/>
      <c r="C2" s="1663"/>
      <c r="D2" s="1663"/>
      <c r="E2" s="1663"/>
      <c r="F2" s="1663"/>
      <c r="G2" s="1663"/>
    </row>
    <row r="3" spans="1:10" x14ac:dyDescent="0.25">
      <c r="A3" s="22"/>
      <c r="B3" s="22"/>
      <c r="C3" s="22"/>
      <c r="D3" s="22"/>
      <c r="E3" s="22"/>
      <c r="F3" s="22"/>
      <c r="G3" s="22"/>
    </row>
    <row r="4" spans="1:10" x14ac:dyDescent="0.25">
      <c r="A4" s="444" t="s">
        <v>1238</v>
      </c>
      <c r="B4" s="444" t="s">
        <v>1239</v>
      </c>
      <c r="C4" s="444" t="s">
        <v>1240</v>
      </c>
      <c r="D4" s="444" t="s">
        <v>1241</v>
      </c>
      <c r="E4" s="444" t="s">
        <v>1242</v>
      </c>
      <c r="F4" s="444" t="s">
        <v>1243</v>
      </c>
      <c r="G4" s="444" t="s">
        <v>1244</v>
      </c>
      <c r="I4" s="1669" t="s">
        <v>1250</v>
      </c>
      <c r="J4" s="1669"/>
    </row>
    <row r="5" spans="1:10" ht="76.5" x14ac:dyDescent="0.25">
      <c r="A5" s="445">
        <v>1</v>
      </c>
      <c r="B5" s="483">
        <v>43495</v>
      </c>
      <c r="C5" s="446" t="s">
        <v>1245</v>
      </c>
      <c r="D5" s="850" t="s">
        <v>1246</v>
      </c>
      <c r="E5" s="850" t="s">
        <v>231</v>
      </c>
      <c r="F5" s="850" t="s">
        <v>1248</v>
      </c>
      <c r="G5" s="850" t="s">
        <v>1248</v>
      </c>
    </row>
    <row r="6" spans="1:10" ht="183.75" customHeight="1" x14ac:dyDescent="0.25">
      <c r="A6" s="1665">
        <v>2</v>
      </c>
      <c r="B6" s="1664">
        <v>43552</v>
      </c>
      <c r="C6" s="447" t="s">
        <v>1302</v>
      </c>
      <c r="D6" s="850" t="s">
        <v>1247</v>
      </c>
      <c r="E6" s="850" t="s">
        <v>1422</v>
      </c>
      <c r="F6" s="850" t="s">
        <v>1249</v>
      </c>
      <c r="G6" s="850" t="s">
        <v>1301</v>
      </c>
      <c r="H6">
        <v>0</v>
      </c>
    </row>
    <row r="7" spans="1:10" ht="76.5" x14ac:dyDescent="0.25">
      <c r="A7" s="1665"/>
      <c r="B7" s="1664"/>
      <c r="C7" s="447" t="s">
        <v>1297</v>
      </c>
      <c r="D7" s="850"/>
      <c r="E7" s="850"/>
      <c r="F7" s="850"/>
      <c r="G7" s="850"/>
      <c r="H7">
        <v>3</v>
      </c>
      <c r="I7" s="449" t="s">
        <v>1251</v>
      </c>
      <c r="J7" s="449" t="s">
        <v>1252</v>
      </c>
    </row>
    <row r="8" spans="1:10" ht="382.5" x14ac:dyDescent="0.25">
      <c r="A8" s="1665"/>
      <c r="B8" s="511">
        <v>43571</v>
      </c>
      <c r="C8" s="482" t="s">
        <v>1796</v>
      </c>
      <c r="D8" s="850" t="s">
        <v>1377</v>
      </c>
      <c r="E8" s="850" t="s">
        <v>1377</v>
      </c>
      <c r="F8" s="850" t="s">
        <v>1376</v>
      </c>
      <c r="G8" s="850" t="s">
        <v>1376</v>
      </c>
      <c r="I8" s="449"/>
      <c r="J8" s="449"/>
    </row>
    <row r="9" spans="1:10" ht="76.5" x14ac:dyDescent="0.25">
      <c r="A9" s="1665"/>
      <c r="B9" s="511">
        <v>43588</v>
      </c>
      <c r="C9" s="482" t="s">
        <v>1797</v>
      </c>
      <c r="D9" s="850" t="s">
        <v>1374</v>
      </c>
      <c r="E9" s="850" t="s">
        <v>1374</v>
      </c>
      <c r="F9" s="850" t="s">
        <v>1374</v>
      </c>
      <c r="G9" s="850" t="s">
        <v>1374</v>
      </c>
    </row>
    <row r="10" spans="1:10" ht="102" x14ac:dyDescent="0.25">
      <c r="A10" s="1665"/>
      <c r="B10" s="511">
        <v>43588</v>
      </c>
      <c r="C10" s="482" t="s">
        <v>1798</v>
      </c>
      <c r="D10" s="850" t="s">
        <v>1404</v>
      </c>
      <c r="E10" s="850" t="s">
        <v>1404</v>
      </c>
      <c r="F10" s="850" t="s">
        <v>1404</v>
      </c>
      <c r="G10" s="850" t="s">
        <v>1405</v>
      </c>
    </row>
    <row r="11" spans="1:10" ht="102" x14ac:dyDescent="0.25">
      <c r="A11" s="556">
        <v>3</v>
      </c>
      <c r="B11" s="540">
        <v>43598</v>
      </c>
      <c r="C11" s="539" t="s">
        <v>1417</v>
      </c>
      <c r="D11" s="850" t="s">
        <v>1792</v>
      </c>
      <c r="E11" s="850" t="s">
        <v>1422</v>
      </c>
      <c r="F11" s="850" t="s">
        <v>1418</v>
      </c>
      <c r="G11" s="850" t="s">
        <v>1301</v>
      </c>
    </row>
    <row r="12" spans="1:10" ht="140.25" x14ac:dyDescent="0.25">
      <c r="A12" s="1666">
        <v>4</v>
      </c>
      <c r="B12" s="1664">
        <v>43628</v>
      </c>
      <c r="C12" s="541" t="s">
        <v>1433</v>
      </c>
      <c r="D12" s="850" t="s">
        <v>1421</v>
      </c>
      <c r="E12" s="850" t="s">
        <v>1422</v>
      </c>
      <c r="F12" s="850" t="s">
        <v>1421</v>
      </c>
      <c r="G12" s="850" t="s">
        <v>1301</v>
      </c>
    </row>
    <row r="13" spans="1:10" ht="127.5" x14ac:dyDescent="0.25">
      <c r="A13" s="1666"/>
      <c r="B13" s="1664"/>
      <c r="C13" s="541" t="s">
        <v>1426</v>
      </c>
      <c r="D13" s="850" t="s">
        <v>1421</v>
      </c>
      <c r="E13" s="850" t="s">
        <v>1422</v>
      </c>
      <c r="F13" s="850" t="s">
        <v>1421</v>
      </c>
      <c r="G13" s="850" t="s">
        <v>1301</v>
      </c>
    </row>
    <row r="14" spans="1:10" ht="89.25" x14ac:dyDescent="0.25">
      <c r="A14" s="1666"/>
      <c r="B14" s="1664"/>
      <c r="C14" s="541" t="s">
        <v>1799</v>
      </c>
      <c r="D14" s="850" t="s">
        <v>1421</v>
      </c>
      <c r="E14" s="850" t="s">
        <v>1422</v>
      </c>
      <c r="F14" s="850" t="s">
        <v>1421</v>
      </c>
      <c r="G14" s="850" t="s">
        <v>1301</v>
      </c>
    </row>
    <row r="15" spans="1:10" ht="89.25" x14ac:dyDescent="0.25">
      <c r="A15" s="1666"/>
      <c r="B15" s="1664"/>
      <c r="C15" s="541" t="s">
        <v>1459</v>
      </c>
      <c r="D15" s="850" t="s">
        <v>1421</v>
      </c>
      <c r="E15" s="850" t="s">
        <v>1422</v>
      </c>
      <c r="F15" s="850" t="s">
        <v>1421</v>
      </c>
      <c r="G15" s="850" t="s">
        <v>1301</v>
      </c>
    </row>
    <row r="16" spans="1:10" ht="89.25" x14ac:dyDescent="0.25">
      <c r="A16" s="1666"/>
      <c r="B16" s="1664"/>
      <c r="C16" s="541" t="s">
        <v>1464</v>
      </c>
      <c r="D16" s="850" t="s">
        <v>1465</v>
      </c>
      <c r="E16" s="850" t="s">
        <v>1422</v>
      </c>
      <c r="F16" s="850" t="s">
        <v>1466</v>
      </c>
      <c r="G16" s="850" t="s">
        <v>1301</v>
      </c>
    </row>
    <row r="17" spans="1:7" ht="89.25" x14ac:dyDescent="0.25">
      <c r="A17" s="1666"/>
      <c r="B17" s="1664"/>
      <c r="C17" s="541" t="s">
        <v>1470</v>
      </c>
      <c r="D17" s="850" t="s">
        <v>1465</v>
      </c>
      <c r="E17" s="850" t="s">
        <v>1422</v>
      </c>
      <c r="F17" s="850" t="s">
        <v>1466</v>
      </c>
      <c r="G17" s="850" t="s">
        <v>1301</v>
      </c>
    </row>
    <row r="18" spans="1:7" ht="102" x14ac:dyDescent="0.25">
      <c r="A18" s="1666"/>
      <c r="B18" s="1664"/>
      <c r="C18" s="541" t="s">
        <v>1800</v>
      </c>
      <c r="D18" s="850" t="s">
        <v>1465</v>
      </c>
      <c r="E18" s="850" t="s">
        <v>1422</v>
      </c>
      <c r="F18" s="850" t="s">
        <v>1466</v>
      </c>
      <c r="G18" s="850" t="s">
        <v>1301</v>
      </c>
    </row>
    <row r="19" spans="1:7" ht="127.5" x14ac:dyDescent="0.25">
      <c r="A19" s="1666"/>
      <c r="B19" s="1664"/>
      <c r="C19" s="541" t="s">
        <v>1478</v>
      </c>
      <c r="D19" s="850" t="s">
        <v>1465</v>
      </c>
      <c r="E19" s="850" t="s">
        <v>1422</v>
      </c>
      <c r="F19" s="850" t="s">
        <v>1466</v>
      </c>
      <c r="G19" s="850" t="s">
        <v>1301</v>
      </c>
    </row>
    <row r="20" spans="1:7" ht="89.25" x14ac:dyDescent="0.25">
      <c r="A20" s="1666"/>
      <c r="B20" s="1664"/>
      <c r="C20" s="541" t="s">
        <v>1479</v>
      </c>
      <c r="D20" s="850" t="s">
        <v>1792</v>
      </c>
      <c r="E20" s="850" t="s">
        <v>1422</v>
      </c>
      <c r="F20" s="850" t="s">
        <v>1418</v>
      </c>
      <c r="G20" s="850" t="s">
        <v>1301</v>
      </c>
    </row>
    <row r="21" spans="1:7" ht="165.75" x14ac:dyDescent="0.25">
      <c r="A21" s="1666"/>
      <c r="B21" s="1664"/>
      <c r="C21" s="541" t="s">
        <v>1480</v>
      </c>
      <c r="D21" s="850" t="s">
        <v>1481</v>
      </c>
      <c r="E21" s="850" t="s">
        <v>1422</v>
      </c>
      <c r="F21" s="850" t="s">
        <v>1247</v>
      </c>
      <c r="G21" s="850" t="s">
        <v>1301</v>
      </c>
    </row>
    <row r="22" spans="1:7" ht="114.75" x14ac:dyDescent="0.25">
      <c r="A22" s="1666"/>
      <c r="B22" s="1664"/>
      <c r="C22" s="541" t="s">
        <v>1482</v>
      </c>
      <c r="D22" s="850" t="s">
        <v>1481</v>
      </c>
      <c r="E22" s="850" t="s">
        <v>1422</v>
      </c>
      <c r="F22" s="850" t="s">
        <v>1247</v>
      </c>
      <c r="G22" s="850" t="s">
        <v>1301</v>
      </c>
    </row>
    <row r="23" spans="1:7" ht="114.75" x14ac:dyDescent="0.25">
      <c r="A23" s="1666"/>
      <c r="B23" s="1664"/>
      <c r="C23" s="541" t="s">
        <v>1483</v>
      </c>
      <c r="D23" s="850" t="s">
        <v>1481</v>
      </c>
      <c r="E23" s="850" t="s">
        <v>1422</v>
      </c>
      <c r="F23" s="850" t="s">
        <v>1247</v>
      </c>
      <c r="G23" s="850" t="s">
        <v>1301</v>
      </c>
    </row>
    <row r="24" spans="1:7" ht="114.75" x14ac:dyDescent="0.25">
      <c r="A24" s="1666"/>
      <c r="B24" s="1664"/>
      <c r="C24" s="541" t="s">
        <v>1487</v>
      </c>
      <c r="D24" s="850" t="s">
        <v>1481</v>
      </c>
      <c r="E24" s="850" t="s">
        <v>1422</v>
      </c>
      <c r="F24" s="850" t="s">
        <v>1247</v>
      </c>
      <c r="G24" s="850" t="s">
        <v>1301</v>
      </c>
    </row>
    <row r="25" spans="1:7" ht="89.25" x14ac:dyDescent="0.25">
      <c r="A25" s="1666"/>
      <c r="B25" s="1664"/>
      <c r="C25" s="541" t="s">
        <v>1489</v>
      </c>
      <c r="D25" s="850" t="s">
        <v>1481</v>
      </c>
      <c r="E25" s="850" t="s">
        <v>1422</v>
      </c>
      <c r="F25" s="850" t="s">
        <v>1247</v>
      </c>
      <c r="G25" s="850" t="s">
        <v>1301</v>
      </c>
    </row>
    <row r="26" spans="1:7" ht="229.5" x14ac:dyDescent="0.25">
      <c r="A26" s="1666"/>
      <c r="B26" s="1664"/>
      <c r="C26" s="541" t="s">
        <v>1492</v>
      </c>
      <c r="D26" s="850" t="s">
        <v>1481</v>
      </c>
      <c r="E26" s="850" t="s">
        <v>1422</v>
      </c>
      <c r="F26" s="850" t="s">
        <v>1247</v>
      </c>
      <c r="G26" s="850" t="s">
        <v>1301</v>
      </c>
    </row>
    <row r="27" spans="1:7" ht="89.25" x14ac:dyDescent="0.25">
      <c r="A27" s="1666"/>
      <c r="B27" s="1664"/>
      <c r="C27" s="541" t="s">
        <v>1493</v>
      </c>
      <c r="D27" s="850" t="s">
        <v>1481</v>
      </c>
      <c r="E27" s="850" t="s">
        <v>1422</v>
      </c>
      <c r="F27" s="850" t="s">
        <v>1247</v>
      </c>
      <c r="G27" s="850" t="s">
        <v>1301</v>
      </c>
    </row>
    <row r="28" spans="1:7" ht="140.25" x14ac:dyDescent="0.25">
      <c r="A28" s="1666"/>
      <c r="B28" s="1664"/>
      <c r="C28" s="541" t="s">
        <v>1496</v>
      </c>
      <c r="D28" s="850" t="s">
        <v>1494</v>
      </c>
      <c r="E28" s="850" t="s">
        <v>1422</v>
      </c>
      <c r="F28" s="850" t="s">
        <v>1495</v>
      </c>
      <c r="G28" s="850" t="s">
        <v>1301</v>
      </c>
    </row>
    <row r="29" spans="1:7" ht="102" x14ac:dyDescent="0.25">
      <c r="A29" s="1666"/>
      <c r="B29" s="1664"/>
      <c r="C29" s="541" t="s">
        <v>1497</v>
      </c>
      <c r="D29" s="850" t="s">
        <v>1494</v>
      </c>
      <c r="E29" s="850" t="s">
        <v>1422</v>
      </c>
      <c r="F29" s="850" t="s">
        <v>1495</v>
      </c>
      <c r="G29" s="850" t="s">
        <v>1301</v>
      </c>
    </row>
    <row r="30" spans="1:7" ht="89.25" x14ac:dyDescent="0.25">
      <c r="A30" s="1666"/>
      <c r="B30" s="1664"/>
      <c r="C30" s="541" t="s">
        <v>1803</v>
      </c>
      <c r="D30" s="850" t="s">
        <v>1498</v>
      </c>
      <c r="E30" s="850" t="s">
        <v>1422</v>
      </c>
      <c r="F30" s="850" t="s">
        <v>1499</v>
      </c>
      <c r="G30" s="850" t="s">
        <v>1301</v>
      </c>
    </row>
    <row r="31" spans="1:7" ht="89.25" x14ac:dyDescent="0.25">
      <c r="A31" s="1666"/>
      <c r="B31" s="1664"/>
      <c r="C31" s="541" t="s">
        <v>1504</v>
      </c>
      <c r="D31" s="850" t="s">
        <v>1498</v>
      </c>
      <c r="E31" s="850" t="s">
        <v>1422</v>
      </c>
      <c r="F31" s="850" t="s">
        <v>1499</v>
      </c>
      <c r="G31" s="850" t="s">
        <v>1301</v>
      </c>
    </row>
    <row r="32" spans="1:7" ht="178.5" x14ac:dyDescent="0.25">
      <c r="A32" s="1666"/>
      <c r="B32" s="1664"/>
      <c r="C32" s="541" t="s">
        <v>1582</v>
      </c>
      <c r="D32" s="850" t="s">
        <v>1498</v>
      </c>
      <c r="E32" s="850" t="s">
        <v>1422</v>
      </c>
      <c r="F32" s="850" t="s">
        <v>1499</v>
      </c>
      <c r="G32" s="850" t="s">
        <v>1301</v>
      </c>
    </row>
    <row r="33" spans="1:7" ht="89.25" x14ac:dyDescent="0.25">
      <c r="A33" s="1666"/>
      <c r="B33" s="1664"/>
      <c r="C33" s="541" t="s">
        <v>1505</v>
      </c>
      <c r="D33" s="850" t="s">
        <v>1499</v>
      </c>
      <c r="E33" s="850" t="s">
        <v>1422</v>
      </c>
      <c r="F33" s="850" t="s">
        <v>1507</v>
      </c>
      <c r="G33" s="850" t="s">
        <v>1301</v>
      </c>
    </row>
    <row r="34" spans="1:7" ht="89.25" x14ac:dyDescent="0.25">
      <c r="A34" s="1666"/>
      <c r="B34" s="1664"/>
      <c r="C34" s="541" t="s">
        <v>1506</v>
      </c>
      <c r="D34" s="850" t="s">
        <v>1499</v>
      </c>
      <c r="E34" s="850" t="s">
        <v>1422</v>
      </c>
      <c r="F34" s="850" t="s">
        <v>1507</v>
      </c>
      <c r="G34" s="850" t="s">
        <v>1301</v>
      </c>
    </row>
    <row r="35" spans="1:7" ht="102" x14ac:dyDescent="0.25">
      <c r="A35" s="1666"/>
      <c r="B35" s="1664"/>
      <c r="C35" s="541" t="s">
        <v>1510</v>
      </c>
      <c r="D35" s="850" t="s">
        <v>1405</v>
      </c>
      <c r="E35" s="850" t="s">
        <v>1422</v>
      </c>
      <c r="F35" s="850" t="s">
        <v>1511</v>
      </c>
      <c r="G35" s="850" t="s">
        <v>1301</v>
      </c>
    </row>
    <row r="36" spans="1:7" ht="89.25" x14ac:dyDescent="0.25">
      <c r="A36" s="1666"/>
      <c r="B36" s="1664"/>
      <c r="C36" s="541" t="s">
        <v>1512</v>
      </c>
      <c r="D36" s="850" t="s">
        <v>1405</v>
      </c>
      <c r="E36" s="850" t="s">
        <v>1422</v>
      </c>
      <c r="F36" s="850" t="s">
        <v>1511</v>
      </c>
      <c r="G36" s="850" t="s">
        <v>1301</v>
      </c>
    </row>
    <row r="37" spans="1:7" ht="89.25" x14ac:dyDescent="0.25">
      <c r="A37" s="1666"/>
      <c r="B37" s="1664"/>
      <c r="C37" s="541" t="s">
        <v>1514</v>
      </c>
      <c r="D37" s="850" t="s">
        <v>1405</v>
      </c>
      <c r="E37" s="850" t="s">
        <v>1422</v>
      </c>
      <c r="F37" s="850" t="s">
        <v>1511</v>
      </c>
      <c r="G37" s="850" t="s">
        <v>1301</v>
      </c>
    </row>
    <row r="38" spans="1:7" ht="90" x14ac:dyDescent="0.25">
      <c r="A38" s="1666"/>
      <c r="B38" s="1664"/>
      <c r="C38" s="56" t="s">
        <v>1518</v>
      </c>
      <c r="D38" s="850" t="s">
        <v>1405</v>
      </c>
      <c r="E38" s="850" t="s">
        <v>1422</v>
      </c>
      <c r="F38" s="850" t="s">
        <v>1511</v>
      </c>
      <c r="G38" s="850" t="s">
        <v>1301</v>
      </c>
    </row>
    <row r="39" spans="1:7" ht="89.25" x14ac:dyDescent="0.25">
      <c r="A39" s="1666"/>
      <c r="B39" s="1664"/>
      <c r="C39" s="541" t="s">
        <v>1522</v>
      </c>
      <c r="D39" s="850" t="s">
        <v>1405</v>
      </c>
      <c r="E39" s="850" t="s">
        <v>1422</v>
      </c>
      <c r="F39" s="850" t="s">
        <v>1511</v>
      </c>
      <c r="G39" s="850" t="s">
        <v>1301</v>
      </c>
    </row>
    <row r="40" spans="1:7" ht="140.25" x14ac:dyDescent="0.25">
      <c r="A40" s="1666"/>
      <c r="B40" s="1664"/>
      <c r="C40" s="541" t="s">
        <v>1524</v>
      </c>
      <c r="D40" s="850" t="s">
        <v>1405</v>
      </c>
      <c r="E40" s="850" t="s">
        <v>1422</v>
      </c>
      <c r="F40" s="850" t="s">
        <v>1511</v>
      </c>
      <c r="G40" s="850" t="s">
        <v>1301</v>
      </c>
    </row>
    <row r="41" spans="1:7" ht="89.25" x14ac:dyDescent="0.25">
      <c r="A41" s="1666"/>
      <c r="B41" s="1664"/>
      <c r="C41" s="541" t="s">
        <v>1526</v>
      </c>
      <c r="D41" s="850" t="s">
        <v>1405</v>
      </c>
      <c r="E41" s="850" t="s">
        <v>1422</v>
      </c>
      <c r="F41" s="850" t="s">
        <v>1511</v>
      </c>
      <c r="G41" s="850" t="s">
        <v>1301</v>
      </c>
    </row>
    <row r="42" spans="1:7" ht="89.25" x14ac:dyDescent="0.25">
      <c r="A42" s="1666"/>
      <c r="B42" s="1664"/>
      <c r="C42" s="541" t="s">
        <v>1528</v>
      </c>
      <c r="D42" s="850" t="s">
        <v>1405</v>
      </c>
      <c r="E42" s="850" t="s">
        <v>1422</v>
      </c>
      <c r="F42" s="850" t="s">
        <v>1511</v>
      </c>
      <c r="G42" s="850" t="s">
        <v>1301</v>
      </c>
    </row>
    <row r="43" spans="1:7" ht="89.25" x14ac:dyDescent="0.25">
      <c r="A43" s="1666"/>
      <c r="B43" s="1664"/>
      <c r="C43" s="541" t="s">
        <v>1530</v>
      </c>
      <c r="D43" s="850" t="s">
        <v>1405</v>
      </c>
      <c r="E43" s="850" t="s">
        <v>1422</v>
      </c>
      <c r="F43" s="850" t="s">
        <v>1511</v>
      </c>
      <c r="G43" s="850" t="s">
        <v>1301</v>
      </c>
    </row>
    <row r="44" spans="1:7" ht="159" customHeight="1" x14ac:dyDescent="0.25">
      <c r="A44" s="1666"/>
      <c r="B44" s="1664"/>
      <c r="C44" s="541" t="s">
        <v>1533</v>
      </c>
      <c r="D44" s="850" t="s">
        <v>1405</v>
      </c>
      <c r="E44" s="850" t="s">
        <v>1422</v>
      </c>
      <c r="F44" s="850" t="s">
        <v>1511</v>
      </c>
      <c r="G44" s="850" t="s">
        <v>1301</v>
      </c>
    </row>
    <row r="45" spans="1:7" ht="127.5" x14ac:dyDescent="0.25">
      <c r="A45" s="1666"/>
      <c r="B45" s="1664"/>
      <c r="C45" s="541" t="s">
        <v>1801</v>
      </c>
      <c r="D45" s="850" t="s">
        <v>1405</v>
      </c>
      <c r="E45" s="850" t="s">
        <v>1422</v>
      </c>
      <c r="F45" s="850" t="s">
        <v>1511</v>
      </c>
      <c r="G45" s="850" t="s">
        <v>1301</v>
      </c>
    </row>
    <row r="46" spans="1:7" ht="89.25" x14ac:dyDescent="0.25">
      <c r="A46" s="1666"/>
      <c r="B46" s="1664"/>
      <c r="C46" s="541" t="s">
        <v>1536</v>
      </c>
      <c r="D46" s="850" t="s">
        <v>1405</v>
      </c>
      <c r="E46" s="850" t="s">
        <v>1422</v>
      </c>
      <c r="F46" s="850" t="s">
        <v>1511</v>
      </c>
      <c r="G46" s="850" t="s">
        <v>1301</v>
      </c>
    </row>
    <row r="47" spans="1:7" ht="127.5" x14ac:dyDescent="0.25">
      <c r="A47" s="1666"/>
      <c r="B47" s="1664"/>
      <c r="C47" s="541" t="s">
        <v>1538</v>
      </c>
      <c r="D47" s="850" t="s">
        <v>1405</v>
      </c>
      <c r="E47" s="850" t="s">
        <v>1422</v>
      </c>
      <c r="F47" s="850" t="s">
        <v>1511</v>
      </c>
      <c r="G47" s="850" t="s">
        <v>1301</v>
      </c>
    </row>
    <row r="48" spans="1:7" ht="89.25" x14ac:dyDescent="0.25">
      <c r="A48" s="1666"/>
      <c r="B48" s="1664"/>
      <c r="C48" s="541" t="s">
        <v>1540</v>
      </c>
      <c r="D48" s="850" t="s">
        <v>1405</v>
      </c>
      <c r="E48" s="850" t="s">
        <v>1422</v>
      </c>
      <c r="F48" s="850" t="s">
        <v>1511</v>
      </c>
      <c r="G48" s="850" t="s">
        <v>1301</v>
      </c>
    </row>
    <row r="49" spans="1:7" ht="89.25" x14ac:dyDescent="0.25">
      <c r="A49" s="1666"/>
      <c r="B49" s="1664"/>
      <c r="C49" s="541" t="s">
        <v>1541</v>
      </c>
      <c r="D49" s="850" t="s">
        <v>1802</v>
      </c>
      <c r="E49" s="850" t="s">
        <v>1422</v>
      </c>
      <c r="F49" s="850" t="s">
        <v>1542</v>
      </c>
      <c r="G49" s="850" t="s">
        <v>1301</v>
      </c>
    </row>
    <row r="50" spans="1:7" ht="89.25" x14ac:dyDescent="0.25">
      <c r="A50" s="1666"/>
      <c r="B50" s="1664"/>
      <c r="C50" s="541" t="s">
        <v>1543</v>
      </c>
      <c r="D50" s="850" t="s">
        <v>1802</v>
      </c>
      <c r="E50" s="850" t="s">
        <v>1422</v>
      </c>
      <c r="F50" s="850" t="s">
        <v>1542</v>
      </c>
      <c r="G50" s="850" t="s">
        <v>1301</v>
      </c>
    </row>
    <row r="51" spans="1:7" ht="89.25" x14ac:dyDescent="0.25">
      <c r="A51" s="1666"/>
      <c r="B51" s="1664"/>
      <c r="C51" s="541" t="s">
        <v>1544</v>
      </c>
      <c r="D51" s="850" t="s">
        <v>1802</v>
      </c>
      <c r="E51" s="850" t="s">
        <v>1422</v>
      </c>
      <c r="F51" s="850" t="s">
        <v>1542</v>
      </c>
      <c r="G51" s="850" t="s">
        <v>1301</v>
      </c>
    </row>
    <row r="52" spans="1:7" ht="89.25" x14ac:dyDescent="0.25">
      <c r="A52" s="1666"/>
      <c r="B52" s="1664"/>
      <c r="C52" s="541" t="s">
        <v>1546</v>
      </c>
      <c r="D52" s="850" t="s">
        <v>1802</v>
      </c>
      <c r="E52" s="850" t="s">
        <v>1422</v>
      </c>
      <c r="F52" s="850" t="s">
        <v>1542</v>
      </c>
      <c r="G52" s="850" t="s">
        <v>1301</v>
      </c>
    </row>
    <row r="53" spans="1:7" ht="127.5" x14ac:dyDescent="0.25">
      <c r="A53" s="1666"/>
      <c r="B53" s="1664"/>
      <c r="C53" s="541" t="s">
        <v>1547</v>
      </c>
      <c r="D53" s="850" t="s">
        <v>1802</v>
      </c>
      <c r="E53" s="850" t="s">
        <v>1422</v>
      </c>
      <c r="F53" s="850" t="s">
        <v>1542</v>
      </c>
      <c r="G53" s="850" t="s">
        <v>1301</v>
      </c>
    </row>
    <row r="54" spans="1:7" ht="89.25" x14ac:dyDescent="0.25">
      <c r="A54" s="1666"/>
      <c r="B54" s="1664"/>
      <c r="C54" s="541" t="s">
        <v>1548</v>
      </c>
      <c r="D54" s="850" t="s">
        <v>1802</v>
      </c>
      <c r="E54" s="850" t="s">
        <v>1422</v>
      </c>
      <c r="F54" s="850" t="s">
        <v>1542</v>
      </c>
      <c r="G54" s="850" t="s">
        <v>1301</v>
      </c>
    </row>
    <row r="55" spans="1:7" ht="89.25" x14ac:dyDescent="0.25">
      <c r="A55" s="1666"/>
      <c r="B55" s="1664"/>
      <c r="C55" s="541" t="s">
        <v>1550</v>
      </c>
      <c r="D55" s="850" t="s">
        <v>1802</v>
      </c>
      <c r="E55" s="850" t="s">
        <v>1422</v>
      </c>
      <c r="F55" s="850" t="s">
        <v>1542</v>
      </c>
      <c r="G55" s="850" t="s">
        <v>1301</v>
      </c>
    </row>
    <row r="56" spans="1:7" ht="153" x14ac:dyDescent="0.25">
      <c r="A56" s="1666"/>
      <c r="B56" s="1664"/>
      <c r="C56" s="541" t="s">
        <v>1572</v>
      </c>
      <c r="D56" s="850" t="s">
        <v>1802</v>
      </c>
      <c r="E56" s="850" t="s">
        <v>1422</v>
      </c>
      <c r="F56" s="850" t="s">
        <v>1542</v>
      </c>
      <c r="G56" s="850" t="s">
        <v>1301</v>
      </c>
    </row>
    <row r="57" spans="1:7" ht="89.25" x14ac:dyDescent="0.25">
      <c r="A57" s="1666"/>
      <c r="B57" s="1664"/>
      <c r="C57" s="541" t="s">
        <v>1556</v>
      </c>
      <c r="D57" s="850" t="s">
        <v>1802</v>
      </c>
      <c r="E57" s="850" t="s">
        <v>1422</v>
      </c>
      <c r="F57" s="850" t="s">
        <v>1542</v>
      </c>
      <c r="G57" s="850" t="s">
        <v>1301</v>
      </c>
    </row>
    <row r="58" spans="1:7" ht="153" x14ac:dyDescent="0.25">
      <c r="A58" s="1666"/>
      <c r="B58" s="1664"/>
      <c r="C58" s="541" t="s">
        <v>1573</v>
      </c>
      <c r="D58" s="850" t="s">
        <v>1802</v>
      </c>
      <c r="E58" s="850" t="s">
        <v>1422</v>
      </c>
      <c r="F58" s="850" t="s">
        <v>1542</v>
      </c>
      <c r="G58" s="850" t="s">
        <v>1301</v>
      </c>
    </row>
    <row r="59" spans="1:7" ht="89.25" x14ac:dyDescent="0.25">
      <c r="A59" s="1666"/>
      <c r="B59" s="1664"/>
      <c r="C59" s="541" t="s">
        <v>1574</v>
      </c>
      <c r="D59" s="850" t="s">
        <v>1802</v>
      </c>
      <c r="E59" s="850" t="s">
        <v>1422</v>
      </c>
      <c r="F59" s="850" t="s">
        <v>1542</v>
      </c>
      <c r="G59" s="850" t="s">
        <v>1301</v>
      </c>
    </row>
    <row r="60" spans="1:7" ht="89.25" x14ac:dyDescent="0.25">
      <c r="A60" s="1666"/>
      <c r="B60" s="1664"/>
      <c r="C60" s="541" t="s">
        <v>1576</v>
      </c>
      <c r="D60" s="850" t="s">
        <v>1575</v>
      </c>
      <c r="E60" s="850" t="s">
        <v>1422</v>
      </c>
      <c r="F60" s="850" t="s">
        <v>1542</v>
      </c>
      <c r="G60" s="850" t="s">
        <v>1301</v>
      </c>
    </row>
    <row r="61" spans="1:7" ht="89.25" x14ac:dyDescent="0.25">
      <c r="A61" s="1666"/>
      <c r="B61" s="1664"/>
      <c r="C61" s="541" t="s">
        <v>1579</v>
      </c>
      <c r="D61" s="850" t="s">
        <v>1578</v>
      </c>
      <c r="E61" s="850" t="s">
        <v>1422</v>
      </c>
      <c r="F61" s="850" t="s">
        <v>1542</v>
      </c>
      <c r="G61" s="850" t="s">
        <v>1301</v>
      </c>
    </row>
    <row r="62" spans="1:7" ht="89.25" x14ac:dyDescent="0.25">
      <c r="A62" s="1666"/>
      <c r="B62" s="1664"/>
      <c r="C62" s="541" t="s">
        <v>1580</v>
      </c>
      <c r="D62" s="850" t="s">
        <v>1578</v>
      </c>
      <c r="E62" s="850" t="s">
        <v>1422</v>
      </c>
      <c r="F62" s="850" t="s">
        <v>1542</v>
      </c>
      <c r="G62" s="850" t="s">
        <v>1301</v>
      </c>
    </row>
    <row r="63" spans="1:7" ht="106.5" customHeight="1" x14ac:dyDescent="0.25">
      <c r="A63" s="1659">
        <v>5</v>
      </c>
      <c r="B63" s="909">
        <v>43644</v>
      </c>
      <c r="C63" s="850" t="s">
        <v>1793</v>
      </c>
      <c r="D63" s="850" t="s">
        <v>1791</v>
      </c>
      <c r="E63" s="850" t="s">
        <v>1792</v>
      </c>
      <c r="F63" s="850" t="s">
        <v>1499</v>
      </c>
      <c r="G63" s="850" t="s">
        <v>1301</v>
      </c>
    </row>
    <row r="64" spans="1:7" ht="127.5" x14ac:dyDescent="0.25">
      <c r="A64" s="1659"/>
      <c r="B64" s="1668">
        <v>43718</v>
      </c>
      <c r="C64" s="850" t="s">
        <v>1754</v>
      </c>
      <c r="D64" s="850" t="s">
        <v>1578</v>
      </c>
      <c r="E64" s="850" t="s">
        <v>1422</v>
      </c>
      <c r="F64" s="850" t="s">
        <v>1542</v>
      </c>
      <c r="G64" s="850" t="s">
        <v>1301</v>
      </c>
    </row>
    <row r="65" spans="1:7" ht="126" customHeight="1" x14ac:dyDescent="0.25">
      <c r="A65" s="1659"/>
      <c r="B65" s="1668"/>
      <c r="C65" s="850" t="s">
        <v>1794</v>
      </c>
      <c r="D65" s="850" t="s">
        <v>1301</v>
      </c>
      <c r="E65" s="850" t="s">
        <v>1422</v>
      </c>
      <c r="F65" s="850" t="s">
        <v>1301</v>
      </c>
      <c r="G65" s="850" t="s">
        <v>1301</v>
      </c>
    </row>
    <row r="66" spans="1:7" ht="89.25" x14ac:dyDescent="0.25">
      <c r="A66" s="1659"/>
      <c r="B66" s="1668"/>
      <c r="C66" s="850" t="s">
        <v>1767</v>
      </c>
      <c r="D66" s="850" t="s">
        <v>1499</v>
      </c>
      <c r="E66" s="850" t="s">
        <v>1422</v>
      </c>
      <c r="F66" s="850" t="s">
        <v>1499</v>
      </c>
      <c r="G66" s="850" t="s">
        <v>1301</v>
      </c>
    </row>
    <row r="67" spans="1:7" ht="89.25" x14ac:dyDescent="0.25">
      <c r="A67" s="1659"/>
      <c r="B67" s="1668"/>
      <c r="C67" s="850" t="s">
        <v>1773</v>
      </c>
      <c r="D67" s="850" t="s">
        <v>1774</v>
      </c>
      <c r="E67" s="850" t="s">
        <v>1422</v>
      </c>
      <c r="F67" s="850" t="s">
        <v>1774</v>
      </c>
      <c r="G67" s="850" t="s">
        <v>1301</v>
      </c>
    </row>
    <row r="68" spans="1:7" ht="89.25" x14ac:dyDescent="0.25">
      <c r="A68" s="1659"/>
      <c r="B68" s="1668"/>
      <c r="C68" s="850" t="s">
        <v>1795</v>
      </c>
      <c r="D68" s="850" t="s">
        <v>1499</v>
      </c>
      <c r="E68" s="850" t="s">
        <v>1422</v>
      </c>
      <c r="F68" s="850" t="s">
        <v>1499</v>
      </c>
      <c r="G68" s="850" t="s">
        <v>1301</v>
      </c>
    </row>
    <row r="69" spans="1:7" ht="153" x14ac:dyDescent="0.25">
      <c r="A69" s="1666">
        <v>6</v>
      </c>
      <c r="B69" s="1667">
        <v>43809</v>
      </c>
      <c r="C69" s="850" t="s">
        <v>1943</v>
      </c>
      <c r="D69" s="850" t="s">
        <v>1421</v>
      </c>
      <c r="E69" s="850" t="s">
        <v>1422</v>
      </c>
      <c r="F69" s="850" t="s">
        <v>1301</v>
      </c>
      <c r="G69" s="850" t="s">
        <v>1301</v>
      </c>
    </row>
    <row r="70" spans="1:7" ht="89.25" x14ac:dyDescent="0.25">
      <c r="A70" s="1666"/>
      <c r="B70" s="1667"/>
      <c r="C70" s="850" t="s">
        <v>1945</v>
      </c>
      <c r="D70" s="850" t="s">
        <v>1946</v>
      </c>
      <c r="E70" s="850" t="s">
        <v>1422</v>
      </c>
      <c r="F70" s="850" t="s">
        <v>1301</v>
      </c>
      <c r="G70" s="850" t="s">
        <v>1301</v>
      </c>
    </row>
    <row r="71" spans="1:7" ht="89.25" x14ac:dyDescent="0.25">
      <c r="A71" s="1666"/>
      <c r="B71" s="1667"/>
      <c r="C71" s="850" t="s">
        <v>1948</v>
      </c>
      <c r="D71" s="850" t="s">
        <v>1946</v>
      </c>
      <c r="E71" s="850" t="s">
        <v>1422</v>
      </c>
      <c r="F71" s="850" t="s">
        <v>1301</v>
      </c>
      <c r="G71" s="850" t="s">
        <v>1301</v>
      </c>
    </row>
    <row r="72" spans="1:7" ht="153" x14ac:dyDescent="0.25">
      <c r="A72" s="1666"/>
      <c r="B72" s="1667"/>
      <c r="C72" s="850" t="s">
        <v>1949</v>
      </c>
      <c r="D72" s="850" t="s">
        <v>1481</v>
      </c>
      <c r="E72" s="850" t="s">
        <v>1422</v>
      </c>
      <c r="F72" s="850" t="s">
        <v>1301</v>
      </c>
      <c r="G72" s="850" t="s">
        <v>1301</v>
      </c>
    </row>
    <row r="73" spans="1:7" ht="114.75" x14ac:dyDescent="0.25">
      <c r="A73" s="1666"/>
      <c r="B73" s="1667"/>
      <c r="C73" s="850" t="s">
        <v>1953</v>
      </c>
      <c r="D73" s="850" t="s">
        <v>1481</v>
      </c>
      <c r="E73" s="850" t="s">
        <v>1422</v>
      </c>
      <c r="F73" s="850" t="s">
        <v>1301</v>
      </c>
      <c r="G73" s="850" t="s">
        <v>1301</v>
      </c>
    </row>
    <row r="74" spans="1:7" ht="89.25" x14ac:dyDescent="0.25">
      <c r="A74" s="1666"/>
      <c r="B74" s="1667">
        <v>43816</v>
      </c>
      <c r="C74" s="850" t="s">
        <v>1954</v>
      </c>
      <c r="D74" s="850" t="s">
        <v>1955</v>
      </c>
      <c r="E74" s="850" t="s">
        <v>1422</v>
      </c>
      <c r="F74" s="850" t="s">
        <v>1956</v>
      </c>
      <c r="G74" s="850" t="s">
        <v>1956</v>
      </c>
    </row>
    <row r="75" spans="1:7" ht="114.75" x14ac:dyDescent="0.25">
      <c r="A75" s="1666"/>
      <c r="B75" s="1667"/>
      <c r="C75" s="850" t="s">
        <v>1957</v>
      </c>
      <c r="D75" s="850" t="s">
        <v>1465</v>
      </c>
      <c r="E75" s="850" t="s">
        <v>1422</v>
      </c>
      <c r="F75" s="850" t="s">
        <v>1956</v>
      </c>
      <c r="G75" s="850" t="s">
        <v>1956</v>
      </c>
    </row>
    <row r="76" spans="1:7" ht="89.25" x14ac:dyDescent="0.25">
      <c r="A76" s="1666"/>
      <c r="B76" s="1667"/>
      <c r="C76" s="850" t="s">
        <v>2017</v>
      </c>
      <c r="D76" s="850" t="s">
        <v>1993</v>
      </c>
      <c r="E76" s="850" t="s">
        <v>1422</v>
      </c>
      <c r="F76" s="850" t="s">
        <v>1542</v>
      </c>
      <c r="G76" s="850" t="s">
        <v>1542</v>
      </c>
    </row>
    <row r="77" spans="1:7" ht="89.25" x14ac:dyDescent="0.25">
      <c r="A77" s="1666"/>
      <c r="B77" s="1667"/>
      <c r="C77" s="850" t="s">
        <v>2018</v>
      </c>
      <c r="D77" s="850" t="s">
        <v>1465</v>
      </c>
      <c r="E77" s="850" t="s">
        <v>1422</v>
      </c>
      <c r="F77" s="850" t="s">
        <v>1542</v>
      </c>
      <c r="G77" s="850" t="s">
        <v>1542</v>
      </c>
    </row>
    <row r="78" spans="1:7" ht="89.25" x14ac:dyDescent="0.25">
      <c r="A78" s="1666"/>
      <c r="B78" s="1667"/>
      <c r="C78" s="850" t="s">
        <v>2081</v>
      </c>
      <c r="D78" s="850" t="s">
        <v>2082</v>
      </c>
      <c r="E78" s="850" t="s">
        <v>1422</v>
      </c>
      <c r="F78" s="850" t="s">
        <v>1542</v>
      </c>
      <c r="G78" s="850" t="s">
        <v>1542</v>
      </c>
    </row>
    <row r="79" spans="1:7" ht="140.25" x14ac:dyDescent="0.25">
      <c r="A79" s="1666"/>
      <c r="B79" s="1667"/>
      <c r="C79" s="850" t="s">
        <v>1989</v>
      </c>
      <c r="D79" s="850" t="s">
        <v>1990</v>
      </c>
      <c r="E79" s="850" t="s">
        <v>1422</v>
      </c>
      <c r="F79" s="850" t="s">
        <v>1542</v>
      </c>
      <c r="G79" s="850" t="s">
        <v>1542</v>
      </c>
    </row>
  </sheetData>
  <sheetProtection algorithmName="SHA-512" hashValue="IV2u+uQ2cGpVnpjLQhlKhONGmYvgGOOk6QUGjC64KuyJv/3EXuOEVz2q4HaztxfGG3YtW9AD4vCpIYol/ANXyg==" saltValue="+FCkZdPKlcEQsmZp9xiH+g==" spinCount="100000" sheet="1" objects="1" scenarios="1"/>
  <mergeCells count="11">
    <mergeCell ref="B69:B73"/>
    <mergeCell ref="B64:B68"/>
    <mergeCell ref="A63:A68"/>
    <mergeCell ref="I4:J4"/>
    <mergeCell ref="A69:A79"/>
    <mergeCell ref="B74:B79"/>
    <mergeCell ref="A2:G2"/>
    <mergeCell ref="B6:B7"/>
    <mergeCell ref="A6:A10"/>
    <mergeCell ref="A12:A62"/>
    <mergeCell ref="B12:B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HU42"/>
  <sheetViews>
    <sheetView showGridLines="0" zoomScale="80" zoomScaleNormal="80" workbookViewId="0">
      <selection activeCell="BQ17" sqref="BQ17"/>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35"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77" customWidth="1"/>
    <col min="31" max="31" width="35.7109375" style="77" customWidth="1"/>
    <col min="32" max="32" width="27.7109375" style="77" customWidth="1"/>
    <col min="33" max="33" width="13.5703125" style="77" customWidth="1"/>
    <col min="34" max="34" width="27.7109375" style="77" customWidth="1"/>
    <col min="35" max="35" width="11.42578125" style="77" customWidth="1"/>
    <col min="36" max="36" width="15.7109375" style="77" customWidth="1"/>
    <col min="37" max="37" width="11.42578125" style="77" customWidth="1"/>
    <col min="38" max="38" width="15.7109375" style="77" customWidth="1"/>
    <col min="39" max="39" width="50.7109375" style="77" customWidth="1"/>
    <col min="40" max="40" width="13.7109375" style="77" customWidth="1"/>
    <col min="41" max="41" width="35.7109375" style="77" customWidth="1"/>
    <col min="42" max="42" width="27.7109375" style="77" customWidth="1"/>
    <col min="43" max="43" width="17.140625" style="77" customWidth="1"/>
    <col min="44" max="44" width="27.7109375" style="77" customWidth="1"/>
    <col min="45" max="45" width="13.7109375" style="77" customWidth="1"/>
    <col min="46" max="46" width="15.7109375" style="77" customWidth="1"/>
    <col min="47" max="47" width="13.7109375" style="77" customWidth="1"/>
    <col min="48" max="48" width="15.7109375" style="77" customWidth="1"/>
    <col min="49" max="49" width="50.7109375" style="77" customWidth="1"/>
    <col min="50" max="50" width="13.7109375" style="77" customWidth="1"/>
    <col min="51" max="51" width="35.7109375" style="77" customWidth="1"/>
    <col min="52" max="52" width="27.7109375" style="77" customWidth="1"/>
    <col min="53" max="53" width="18" style="77" customWidth="1"/>
    <col min="54" max="54" width="27.7109375" style="77" customWidth="1"/>
    <col min="55" max="55" width="13.7109375" style="77" customWidth="1"/>
    <col min="56" max="56" width="15.7109375" style="77" customWidth="1"/>
    <col min="57" max="57" width="13.7109375" style="77" customWidth="1"/>
    <col min="58" max="58" width="15.7109375" style="77" customWidth="1"/>
    <col min="59" max="59" width="50.7109375" style="77" customWidth="1"/>
    <col min="60" max="60" width="13.7109375" style="77" customWidth="1"/>
    <col min="61" max="61" width="35.7109375" style="77" customWidth="1"/>
    <col min="62" max="62" width="27.7109375" style="77" customWidth="1"/>
    <col min="63" max="63" width="13.7109375" style="77" customWidth="1"/>
    <col min="64" max="64" width="27.7109375" style="77" customWidth="1"/>
    <col min="65" max="65" width="13.7109375" style="77" customWidth="1"/>
    <col min="66" max="66" width="15.7109375" style="77" customWidth="1"/>
    <col min="67" max="67" width="13.7109375" style="77" customWidth="1"/>
    <col min="68" max="68" width="15.7109375" style="77" customWidth="1"/>
    <col min="69" max="69" width="50.7109375" style="77" customWidth="1"/>
    <col min="70" max="70" width="13.7109375" style="77" customWidth="1"/>
    <col min="71" max="71" width="15.7109375" style="77" customWidth="1"/>
    <col min="72" max="72" width="15.42578125" style="77" customWidth="1"/>
    <col min="73" max="73" width="15.7109375" style="77" customWidth="1"/>
    <col min="74" max="74" width="13.7109375" style="77" customWidth="1"/>
    <col min="75" max="75" width="15.7109375" style="77" customWidth="1"/>
    <col min="76" max="76" width="13.7109375" style="77" customWidth="1"/>
    <col min="77" max="77" width="15.7109375" style="77" customWidth="1"/>
    <col min="78" max="78" width="11.42578125" style="77" hidden="1" customWidth="1"/>
    <col min="79" max="16384" width="11.42578125" style="77"/>
  </cols>
  <sheetData>
    <row r="1" spans="1:229" ht="22.5" customHeight="1" x14ac:dyDescent="0.2">
      <c r="A1" s="1217"/>
      <c r="B1" s="1218"/>
      <c r="C1" s="1223" t="s">
        <v>246</v>
      </c>
      <c r="D1" s="1224"/>
      <c r="E1" s="1224"/>
      <c r="F1" s="1224"/>
      <c r="G1" s="1224"/>
      <c r="H1" s="1224"/>
      <c r="I1" s="1224"/>
      <c r="J1" s="1225"/>
      <c r="K1" s="1226" t="s">
        <v>247</v>
      </c>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7"/>
      <c r="BV1" s="1304"/>
      <c r="BW1" s="1305"/>
      <c r="BX1" s="1305"/>
      <c r="BY1" s="1305"/>
    </row>
    <row r="2" spans="1:229" ht="24" customHeight="1" x14ac:dyDescent="0.2">
      <c r="A2" s="1219"/>
      <c r="B2" s="1220"/>
      <c r="C2" s="1244" t="s">
        <v>248</v>
      </c>
      <c r="D2" s="1245"/>
      <c r="E2" s="1245"/>
      <c r="F2" s="1245"/>
      <c r="G2" s="1245"/>
      <c r="H2" s="1245"/>
      <c r="I2" s="1245"/>
      <c r="J2" s="1246"/>
      <c r="K2" s="1247" t="s">
        <v>254</v>
      </c>
      <c r="L2" s="1249" t="s">
        <v>250</v>
      </c>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t="s">
        <v>249</v>
      </c>
      <c r="BU2" s="1251">
        <v>2</v>
      </c>
      <c r="BV2" s="1306"/>
      <c r="BW2" s="1307"/>
      <c r="BX2" s="1307"/>
      <c r="BY2" s="1307"/>
    </row>
    <row r="3" spans="1:229" ht="25.5" customHeight="1" thickBot="1" x14ac:dyDescent="0.25">
      <c r="A3" s="1221"/>
      <c r="B3" s="1222"/>
      <c r="C3" s="1253" t="s">
        <v>242</v>
      </c>
      <c r="D3" s="1254"/>
      <c r="E3" s="1254"/>
      <c r="F3" s="1254"/>
      <c r="G3" s="1254"/>
      <c r="H3" s="1254"/>
      <c r="I3" s="1254"/>
      <c r="J3" s="1255"/>
      <c r="K3" s="1248"/>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2"/>
      <c r="BV3" s="1308"/>
      <c r="BW3" s="1309"/>
      <c r="BX3" s="1309"/>
      <c r="BY3" s="1309"/>
    </row>
    <row r="4" spans="1:229" x14ac:dyDescent="0.2">
      <c r="G4" s="132"/>
      <c r="H4" s="132"/>
      <c r="I4" s="132"/>
      <c r="J4" s="132"/>
      <c r="K4" s="132"/>
      <c r="L4" s="132"/>
      <c r="M4" s="132"/>
      <c r="N4" s="132"/>
      <c r="O4" s="132"/>
      <c r="P4" s="132"/>
      <c r="Q4" s="132"/>
      <c r="R4" s="132"/>
    </row>
    <row r="5" spans="1:229" x14ac:dyDescent="0.2">
      <c r="A5" s="133" t="s">
        <v>346</v>
      </c>
      <c r="G5" s="1234"/>
      <c r="H5" s="1234"/>
      <c r="I5" s="1234"/>
      <c r="J5" s="1234"/>
      <c r="K5" s="1234"/>
      <c r="L5" s="1234"/>
      <c r="M5" s="1234"/>
      <c r="N5" s="1234"/>
      <c r="O5" s="1234"/>
      <c r="P5" s="1234"/>
      <c r="Q5" s="1234"/>
      <c r="R5" s="1234"/>
      <c r="T5" s="134"/>
    </row>
    <row r="6" spans="1:229" ht="13.5" thickBot="1" x14ac:dyDescent="0.25">
      <c r="A6" s="133"/>
      <c r="G6" s="162"/>
      <c r="H6" s="162"/>
      <c r="I6" s="162"/>
      <c r="J6" s="162"/>
      <c r="K6" s="162"/>
      <c r="L6" s="162"/>
      <c r="M6" s="162"/>
      <c r="N6" s="162"/>
      <c r="O6" s="162"/>
      <c r="P6" s="162"/>
      <c r="Q6" s="162"/>
      <c r="R6" s="162"/>
      <c r="T6" s="134"/>
    </row>
    <row r="7" spans="1:229" ht="29.25" customHeight="1" thickBot="1" x14ac:dyDescent="0.25">
      <c r="A7" s="1190" t="s">
        <v>30</v>
      </c>
      <c r="B7" s="1192" t="s">
        <v>31</v>
      </c>
      <c r="C7" s="1192" t="s">
        <v>255</v>
      </c>
      <c r="D7" s="1192" t="s">
        <v>255</v>
      </c>
      <c r="E7" s="1192"/>
      <c r="F7" s="1192" t="s">
        <v>57</v>
      </c>
      <c r="G7" s="1192" t="s">
        <v>257</v>
      </c>
      <c r="H7" s="1192" t="s">
        <v>256</v>
      </c>
      <c r="I7" s="1192" t="s">
        <v>258</v>
      </c>
      <c r="J7" s="1192" t="s">
        <v>32</v>
      </c>
      <c r="K7" s="1192" t="s">
        <v>49</v>
      </c>
      <c r="L7" s="1192" t="s">
        <v>35</v>
      </c>
      <c r="M7" s="1192" t="s">
        <v>8</v>
      </c>
      <c r="N7" s="1192" t="s">
        <v>33</v>
      </c>
      <c r="O7" s="1192" t="s">
        <v>50</v>
      </c>
      <c r="P7" s="1192" t="s">
        <v>151</v>
      </c>
      <c r="Q7" s="1192" t="s">
        <v>5</v>
      </c>
      <c r="R7" s="1192" t="s">
        <v>37</v>
      </c>
      <c r="S7" s="1192" t="s">
        <v>36</v>
      </c>
      <c r="T7" s="1192" t="s">
        <v>38</v>
      </c>
      <c r="U7" s="1192" t="s">
        <v>39</v>
      </c>
      <c r="V7" s="1192" t="s">
        <v>6</v>
      </c>
      <c r="W7" s="1192" t="s">
        <v>1265</v>
      </c>
      <c r="X7" s="1192" t="s">
        <v>0</v>
      </c>
      <c r="Y7" s="1192" t="s">
        <v>34</v>
      </c>
      <c r="Z7" s="1192" t="s">
        <v>8</v>
      </c>
      <c r="AA7" s="1192" t="s">
        <v>188</v>
      </c>
      <c r="AB7" s="1192" t="s">
        <v>151</v>
      </c>
      <c r="AC7" s="1273" t="s">
        <v>9</v>
      </c>
      <c r="AD7" s="1229" t="s">
        <v>190</v>
      </c>
      <c r="AE7" s="1229"/>
      <c r="AF7" s="1229"/>
      <c r="AG7" s="1229"/>
      <c r="AH7" s="1229"/>
      <c r="AI7" s="1229"/>
      <c r="AJ7" s="1229"/>
      <c r="AK7" s="1229"/>
      <c r="AL7" s="1229"/>
      <c r="AM7" s="1230"/>
      <c r="AN7" s="1231" t="s">
        <v>192</v>
      </c>
      <c r="AO7" s="1232"/>
      <c r="AP7" s="1232"/>
      <c r="AQ7" s="1232"/>
      <c r="AR7" s="1232"/>
      <c r="AS7" s="1232"/>
      <c r="AT7" s="1232"/>
      <c r="AU7" s="1232"/>
      <c r="AV7" s="1232"/>
      <c r="AW7" s="1233"/>
      <c r="AX7" s="1228" t="s">
        <v>191</v>
      </c>
      <c r="AY7" s="1229"/>
      <c r="AZ7" s="1229"/>
      <c r="BA7" s="1229"/>
      <c r="BB7" s="1229"/>
      <c r="BC7" s="1229"/>
      <c r="BD7" s="1229"/>
      <c r="BE7" s="1229"/>
      <c r="BF7" s="1229"/>
      <c r="BG7" s="1230"/>
      <c r="BH7" s="1231" t="s">
        <v>193</v>
      </c>
      <c r="BI7" s="1232"/>
      <c r="BJ7" s="1232"/>
      <c r="BK7" s="1232"/>
      <c r="BL7" s="1232"/>
      <c r="BM7" s="1232"/>
      <c r="BN7" s="1232"/>
      <c r="BO7" s="1232"/>
      <c r="BP7" s="1232"/>
      <c r="BQ7" s="1233"/>
      <c r="BR7" s="1235" t="s">
        <v>1147</v>
      </c>
      <c r="BS7" s="1236"/>
      <c r="BT7" s="1236"/>
      <c r="BU7" s="1236"/>
      <c r="BV7" s="1236"/>
      <c r="BW7" s="1236"/>
      <c r="BX7" s="1236"/>
      <c r="BY7" s="1237"/>
    </row>
    <row r="8" spans="1:229" s="161" customFormat="1" ht="40.5" customHeight="1" x14ac:dyDescent="0.2">
      <c r="A8" s="1191"/>
      <c r="B8" s="1193"/>
      <c r="C8" s="1193"/>
      <c r="D8" s="681">
        <v>2</v>
      </c>
      <c r="E8" s="681">
        <v>3</v>
      </c>
      <c r="F8" s="1193"/>
      <c r="G8" s="1193"/>
      <c r="H8" s="1193"/>
      <c r="I8" s="1193"/>
      <c r="J8" s="1193"/>
      <c r="K8" s="1193"/>
      <c r="L8" s="1193"/>
      <c r="M8" s="1193"/>
      <c r="N8" s="1193"/>
      <c r="O8" s="1193"/>
      <c r="P8" s="1193"/>
      <c r="Q8" s="1193"/>
      <c r="R8" s="1193"/>
      <c r="S8" s="1193"/>
      <c r="T8" s="1193"/>
      <c r="U8" s="1193"/>
      <c r="V8" s="1193"/>
      <c r="W8" s="1193"/>
      <c r="X8" s="1193"/>
      <c r="Y8" s="1193"/>
      <c r="Z8" s="1193"/>
      <c r="AA8" s="1193"/>
      <c r="AB8" s="1193"/>
      <c r="AC8" s="1274"/>
      <c r="AD8" s="166" t="s">
        <v>8</v>
      </c>
      <c r="AE8" s="140" t="s">
        <v>50</v>
      </c>
      <c r="AF8" s="140" t="s">
        <v>151</v>
      </c>
      <c r="AG8" s="140" t="s">
        <v>8</v>
      </c>
      <c r="AH8" s="140" t="s">
        <v>151</v>
      </c>
      <c r="AI8" s="140" t="s">
        <v>7</v>
      </c>
      <c r="AJ8" s="140" t="s">
        <v>10</v>
      </c>
      <c r="AK8" s="140" t="s">
        <v>7</v>
      </c>
      <c r="AL8" s="140" t="s">
        <v>10</v>
      </c>
      <c r="AM8" s="140" t="s">
        <v>189</v>
      </c>
      <c r="AN8" s="137" t="s">
        <v>8</v>
      </c>
      <c r="AO8" s="137" t="s">
        <v>50</v>
      </c>
      <c r="AP8" s="137" t="s">
        <v>151</v>
      </c>
      <c r="AQ8" s="137" t="s">
        <v>8</v>
      </c>
      <c r="AR8" s="137" t="s">
        <v>151</v>
      </c>
      <c r="AS8" s="137" t="s">
        <v>7</v>
      </c>
      <c r="AT8" s="137" t="s">
        <v>10</v>
      </c>
      <c r="AU8" s="137" t="s">
        <v>7</v>
      </c>
      <c r="AV8" s="137" t="s">
        <v>10</v>
      </c>
      <c r="AW8" s="137" t="s">
        <v>189</v>
      </c>
      <c r="AX8" s="140" t="s">
        <v>8</v>
      </c>
      <c r="AY8" s="140" t="s">
        <v>50</v>
      </c>
      <c r="AZ8" s="140" t="s">
        <v>151</v>
      </c>
      <c r="BA8" s="140" t="s">
        <v>8</v>
      </c>
      <c r="BB8" s="140" t="s">
        <v>151</v>
      </c>
      <c r="BC8" s="140" t="s">
        <v>7</v>
      </c>
      <c r="BD8" s="140" t="s">
        <v>10</v>
      </c>
      <c r="BE8" s="140" t="s">
        <v>7</v>
      </c>
      <c r="BF8" s="140" t="s">
        <v>10</v>
      </c>
      <c r="BG8" s="140" t="s">
        <v>189</v>
      </c>
      <c r="BH8" s="137" t="s">
        <v>8</v>
      </c>
      <c r="BI8" s="137" t="s">
        <v>50</v>
      </c>
      <c r="BJ8" s="137" t="s">
        <v>151</v>
      </c>
      <c r="BK8" s="137" t="s">
        <v>8</v>
      </c>
      <c r="BL8" s="137" t="s">
        <v>151</v>
      </c>
      <c r="BM8" s="137" t="s">
        <v>7</v>
      </c>
      <c r="BN8" s="137" t="s">
        <v>10</v>
      </c>
      <c r="BO8" s="137" t="s">
        <v>7</v>
      </c>
      <c r="BP8" s="137" t="s">
        <v>10</v>
      </c>
      <c r="BQ8" s="137" t="s">
        <v>189</v>
      </c>
      <c r="BR8" s="141" t="s">
        <v>7</v>
      </c>
      <c r="BS8" s="141" t="s">
        <v>10</v>
      </c>
      <c r="BT8" s="141" t="s">
        <v>7</v>
      </c>
      <c r="BU8" s="141" t="s">
        <v>10</v>
      </c>
      <c r="BV8" s="141" t="s">
        <v>7</v>
      </c>
      <c r="BW8" s="141" t="s">
        <v>10</v>
      </c>
      <c r="BX8" s="141" t="s">
        <v>7</v>
      </c>
      <c r="BY8" s="141" t="s">
        <v>10</v>
      </c>
    </row>
    <row r="9" spans="1:229" s="570" customFormat="1" ht="178.5" hidden="1" x14ac:dyDescent="0.2">
      <c r="A9" s="695">
        <v>11900</v>
      </c>
      <c r="B9" s="696" t="s">
        <v>125</v>
      </c>
      <c r="C9" s="696" t="s">
        <v>330</v>
      </c>
      <c r="D9" s="697" t="s">
        <v>1017</v>
      </c>
      <c r="E9" s="697" t="s">
        <v>1017</v>
      </c>
      <c r="F9" s="698" t="s">
        <v>126</v>
      </c>
      <c r="G9" s="696" t="s">
        <v>60</v>
      </c>
      <c r="H9" s="696" t="s">
        <v>204</v>
      </c>
      <c r="I9" s="696" t="s">
        <v>204</v>
      </c>
      <c r="J9" s="698" t="s">
        <v>149</v>
      </c>
      <c r="K9" s="696" t="s">
        <v>433</v>
      </c>
      <c r="L9" s="699" t="s">
        <v>491</v>
      </c>
      <c r="M9" s="700">
        <v>4400</v>
      </c>
      <c r="N9" s="698" t="s">
        <v>128</v>
      </c>
      <c r="O9" s="701" t="s">
        <v>347</v>
      </c>
      <c r="P9" s="702">
        <v>53164884</v>
      </c>
      <c r="Q9" s="703">
        <v>1</v>
      </c>
      <c r="R9" s="696" t="s">
        <v>17</v>
      </c>
      <c r="S9" s="696" t="s">
        <v>26</v>
      </c>
      <c r="T9" s="696" t="s">
        <v>629</v>
      </c>
      <c r="U9" s="696" t="s">
        <v>631</v>
      </c>
      <c r="V9" s="696" t="s">
        <v>1042</v>
      </c>
      <c r="W9" s="696" t="s">
        <v>1266</v>
      </c>
      <c r="X9" s="696" t="s">
        <v>492</v>
      </c>
      <c r="Y9" s="696" t="s">
        <v>204</v>
      </c>
      <c r="Z9" s="700">
        <v>4400</v>
      </c>
      <c r="AA9" s="696"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704">
        <f>+P9</f>
        <v>53164884</v>
      </c>
      <c r="AC9" s="701" t="s">
        <v>46</v>
      </c>
      <c r="AD9" s="700">
        <v>800</v>
      </c>
      <c r="AE9" s="696"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702">
        <f>+AB9/4</f>
        <v>13291221</v>
      </c>
      <c r="AG9" s="699">
        <v>2287</v>
      </c>
      <c r="AH9" s="699" t="s">
        <v>1353</v>
      </c>
      <c r="AI9" s="705">
        <f t="shared" ref="AI9:AI15" si="1">+(AG9/AD9)</f>
        <v>2.8587500000000001</v>
      </c>
      <c r="AJ9" s="705">
        <f t="shared" ref="AJ9:AJ14" si="2">+(AH9/AF9)</f>
        <v>0.73333330323828039</v>
      </c>
      <c r="AK9" s="705">
        <f t="shared" ref="AK9:AK15" si="3">+(AG9/Z9)</f>
        <v>0.51977272727272728</v>
      </c>
      <c r="AL9" s="705">
        <f t="shared" ref="AL9:AL14" si="4">+(AH9/AB9)</f>
        <v>0.1833333258095701</v>
      </c>
      <c r="AM9" s="706" t="s">
        <v>1589</v>
      </c>
      <c r="AN9" s="700">
        <v>1200</v>
      </c>
      <c r="AO9" s="696"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702">
        <f>+AB9/4</f>
        <v>13291221</v>
      </c>
      <c r="AQ9" s="699"/>
      <c r="AR9" s="698"/>
      <c r="AS9" s="705">
        <f t="shared" ref="AS9:AS15" si="6">+(AQ9/AN9)</f>
        <v>0</v>
      </c>
      <c r="AT9" s="705">
        <f t="shared" ref="AT9:AT14" si="7">+(AR9/AP9)</f>
        <v>0</v>
      </c>
      <c r="AU9" s="705">
        <f t="shared" ref="AU9:AU14" si="8">+(AQ9+AG9)/Z9</f>
        <v>0.51977272727272728</v>
      </c>
      <c r="AV9" s="705">
        <f t="shared" ref="AV9:AV14" si="9">+(AR9+AH9)/AB9</f>
        <v>0.1833333258095701</v>
      </c>
      <c r="AW9" s="707"/>
      <c r="AX9" s="700">
        <v>1200</v>
      </c>
      <c r="AY9" s="696"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702">
        <f>+AB9/4</f>
        <v>13291221</v>
      </c>
      <c r="BA9" s="708"/>
      <c r="BB9" s="708"/>
      <c r="BC9" s="705">
        <f t="shared" ref="BC9:BC14" si="11">+(BA9/AX9)</f>
        <v>0</v>
      </c>
      <c r="BD9" s="705">
        <f t="shared" ref="BD9:BD14" si="12">+(BB9/AZ9)</f>
        <v>0</v>
      </c>
      <c r="BE9" s="705">
        <f t="shared" ref="BE9:BE14" si="13">+(AQ9+AG9+BA9)/Z9</f>
        <v>0.51977272727272728</v>
      </c>
      <c r="BF9" s="705">
        <f t="shared" ref="BF9:BF14" si="14">+(AR9+AH9+BB9)/AB9</f>
        <v>0.1833333258095701</v>
      </c>
      <c r="BG9" s="705"/>
      <c r="BH9" s="700">
        <v>1200</v>
      </c>
      <c r="BI9" s="696"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702">
        <f>+AB9/4</f>
        <v>13291221</v>
      </c>
      <c r="BK9" s="709"/>
      <c r="BL9" s="709"/>
      <c r="BM9" s="710">
        <f t="shared" ref="BM9:BM15" si="16">+(BK9/BH9)</f>
        <v>0</v>
      </c>
      <c r="BN9" s="710">
        <f t="shared" ref="BN9:BN14" si="17">+(BL9/BJ9)</f>
        <v>0</v>
      </c>
      <c r="BO9" s="710">
        <f t="shared" ref="BO9:BO15" si="18">+(AQ9+AG9+BA9+BK9)/Z9</f>
        <v>0.51977272727272728</v>
      </c>
      <c r="BP9" s="710">
        <f t="shared" ref="BP9:BP14" si="19">+(AR9+AH9+BB9+BL9)/AB9</f>
        <v>0.1833333258095701</v>
      </c>
      <c r="BQ9" s="710"/>
      <c r="BR9" s="711">
        <f t="shared" ref="BR9:BR15" si="20">IF(AND(AD9=0,AG9=0),"No Prog ni Ejec",IF(AD9=0,CONCATENATE("No Prog, Ejec=  ",AG9),AG9/AD9))</f>
        <v>2.8587500000000001</v>
      </c>
      <c r="BS9" s="711">
        <f t="shared" ref="BS9:BS15" si="21">IF(AND(AF9=0,AH9=0),"No Prog ni Ejec",IF(AF9=0,CONCATENATE("No Prog, Ejec=  ",AH9),AH9/AF9))</f>
        <v>0.73333330323828039</v>
      </c>
      <c r="BT9" s="711">
        <f t="shared" ref="BT9:BT15" si="22">IF(AND(AN9=0,AQ9=0),"No Prog ni Ejec",IF(AN9=0,CONCATENATE("No Prog, Ejec=  ",AQ9),AQ9/AN9))</f>
        <v>0</v>
      </c>
      <c r="BU9" s="711">
        <f t="shared" ref="BU9:BU15" si="23">IF(AND(AP9=0,AR9=0),"No Prog ni Ejec",IF(AP9=0,CONCATENATE("No Prog, Ejec=  ",AR9),AR9/AP9))</f>
        <v>0</v>
      </c>
      <c r="BV9" s="711">
        <f t="shared" ref="BV9:BV15" si="24">IF(AND(AX9=0,BA9=0),"No Prog ni Ejec",IF(AX9=0,CONCATENATE("No Prog, Ejec=  ",BA9),BA9/AX9))</f>
        <v>0</v>
      </c>
      <c r="BW9" s="711">
        <f t="shared" ref="BW9:BW15" si="25">IF(AND(AZ9=0,BB9=0),"No Prog ni Ejec",IF(AZ9=0,CONCATENATE("No Prog, Ejec=  ",BB9),BB9/AZ9))</f>
        <v>0</v>
      </c>
      <c r="BX9" s="711">
        <f t="shared" ref="BX9:BX15" si="26">IF(AND(BH9=0,BK9=0),"No Prog ni Ejec",IF(BH9=0,CONCATENATE("No Prog, Ejec=  ",BK9),BK9/BH9))</f>
        <v>0</v>
      </c>
      <c r="BY9" s="712">
        <f t="shared" ref="BY9:BY15" si="27">IF(AND(BJ9=0,BL9=0),"No Prog ni Ejec",IF(BJ9=0,CONCATENATE("No Prog, Ejec=  ",BL9),BL9/BJ9))</f>
        <v>0</v>
      </c>
      <c r="BZ9" s="569">
        <f>+AB9-AF9-AP9-AZ9-BJ9</f>
        <v>0</v>
      </c>
    </row>
    <row r="10" spans="1:229" s="570" customFormat="1" ht="51" hidden="1" customHeight="1" x14ac:dyDescent="0.2">
      <c r="A10" s="833">
        <v>11900</v>
      </c>
      <c r="B10" s="829" t="s">
        <v>125</v>
      </c>
      <c r="C10" s="829" t="s">
        <v>330</v>
      </c>
      <c r="D10" s="845" t="s">
        <v>1017</v>
      </c>
      <c r="E10" s="845" t="s">
        <v>1017</v>
      </c>
      <c r="F10" s="834" t="s">
        <v>126</v>
      </c>
      <c r="G10" s="829" t="s">
        <v>60</v>
      </c>
      <c r="H10" s="829" t="s">
        <v>204</v>
      </c>
      <c r="I10" s="829" t="s">
        <v>204</v>
      </c>
      <c r="J10" s="834" t="s">
        <v>591</v>
      </c>
      <c r="K10" s="829" t="s">
        <v>490</v>
      </c>
      <c r="L10" s="564" t="s">
        <v>491</v>
      </c>
      <c r="M10" s="581">
        <f>3000*4</f>
        <v>12000</v>
      </c>
      <c r="N10" s="1210" t="s">
        <v>590</v>
      </c>
      <c r="O10" s="848" t="s">
        <v>489</v>
      </c>
      <c r="P10" s="1310">
        <v>27880404</v>
      </c>
      <c r="Q10" s="1206">
        <v>1</v>
      </c>
      <c r="R10" s="1201" t="s">
        <v>18</v>
      </c>
      <c r="S10" s="1201" t="s">
        <v>24</v>
      </c>
      <c r="T10" s="1201" t="s">
        <v>204</v>
      </c>
      <c r="U10" s="1201" t="s">
        <v>633</v>
      </c>
      <c r="V10" s="1201" t="s">
        <v>1042</v>
      </c>
      <c r="W10" s="1327" t="s">
        <v>1266</v>
      </c>
      <c r="X10" s="829" t="s">
        <v>493</v>
      </c>
      <c r="Y10" s="1201" t="s">
        <v>204</v>
      </c>
      <c r="Z10" s="581">
        <f>3000*4</f>
        <v>12000</v>
      </c>
      <c r="AA10" s="829" t="str">
        <f>+O10</f>
        <v>Remitir comunicaciones a los terceros deudores informándoles lo adeudado a la ADRES</v>
      </c>
      <c r="AB10" s="1207">
        <f>+P10</f>
        <v>27880404</v>
      </c>
      <c r="AC10" s="848" t="s">
        <v>46</v>
      </c>
      <c r="AD10" s="581">
        <v>3000</v>
      </c>
      <c r="AE10" s="829" t="str">
        <f t="shared" si="0"/>
        <v>Remitir comunicaciones a los terceros deudores informándoles lo adeudado a la ADRES</v>
      </c>
      <c r="AF10" s="1205">
        <f>+AB10/4</f>
        <v>6970101</v>
      </c>
      <c r="AG10" s="564">
        <v>0</v>
      </c>
      <c r="AH10" s="1332" t="s">
        <v>1354</v>
      </c>
      <c r="AI10" s="832">
        <f>+(AG10/AD10)</f>
        <v>0</v>
      </c>
      <c r="AJ10" s="1196">
        <f>+(AH10/AF10)</f>
        <v>0.66666666666666663</v>
      </c>
      <c r="AK10" s="832">
        <f>+(AG10/Z10)</f>
        <v>0</v>
      </c>
      <c r="AL10" s="1196">
        <f>+(AH10/AB10)</f>
        <v>0.16666666666666666</v>
      </c>
      <c r="AM10" s="582" t="s">
        <v>1356</v>
      </c>
      <c r="AN10" s="581">
        <v>3000</v>
      </c>
      <c r="AO10" s="829" t="str">
        <f t="shared" si="5"/>
        <v>Remitir comunicaciones a los terceros deudores informándoles lo adeudado a la ADRES</v>
      </c>
      <c r="AP10" s="1205">
        <f>+AB10/4</f>
        <v>6970101</v>
      </c>
      <c r="AQ10" s="564"/>
      <c r="AR10" s="1336">
        <v>6970101</v>
      </c>
      <c r="AS10" s="832">
        <f>+(AQ10/AN10)</f>
        <v>0</v>
      </c>
      <c r="AT10" s="1196">
        <f>+(AR10/AP10)</f>
        <v>1</v>
      </c>
      <c r="AU10" s="832">
        <f>+(AQ10+AG10)/Z10</f>
        <v>0</v>
      </c>
      <c r="AV10" s="1196">
        <f>+(AR10+AH10)/AB10</f>
        <v>0.41666666666666669</v>
      </c>
      <c r="AW10" s="675"/>
      <c r="AX10" s="581">
        <v>3000</v>
      </c>
      <c r="AY10" s="829" t="str">
        <f t="shared" si="10"/>
        <v>Remitir comunicaciones a los terceros deudores informándoles lo adeudado a la ADRES</v>
      </c>
      <c r="AZ10" s="1205">
        <f>+AB10/4</f>
        <v>6970101</v>
      </c>
      <c r="BA10" s="568"/>
      <c r="BB10" s="1310">
        <v>6970101</v>
      </c>
      <c r="BC10" s="832">
        <f>+(BA10/AX10)</f>
        <v>0</v>
      </c>
      <c r="BD10" s="1196">
        <f>+(BB10/AZ10)</f>
        <v>1</v>
      </c>
      <c r="BE10" s="832">
        <f>+(AQ10+AG10+BA10)/Z10</f>
        <v>0</v>
      </c>
      <c r="BF10" s="1196">
        <f>+(AR10+AH10+BB10)/AB10</f>
        <v>0.66666666666666663</v>
      </c>
      <c r="BG10" s="832"/>
      <c r="BH10" s="581">
        <v>300</v>
      </c>
      <c r="BI10" s="829" t="str">
        <f t="shared" si="15"/>
        <v>Remitir comunicaciones a los terceros deudores informándoles lo adeudado a la ADRES</v>
      </c>
      <c r="BJ10" s="1205">
        <f>+AB10/4</f>
        <v>6970101</v>
      </c>
      <c r="BK10" s="583"/>
      <c r="BL10" s="1329">
        <v>6970101</v>
      </c>
      <c r="BM10" s="839">
        <f>+(BK10/BH10)</f>
        <v>0</v>
      </c>
      <c r="BN10" s="1328">
        <f>+(BL10/BJ10)</f>
        <v>1</v>
      </c>
      <c r="BO10" s="839">
        <f>+(AQ10+AG10+BA10+BK10)/Z10</f>
        <v>0</v>
      </c>
      <c r="BP10" s="1328">
        <f>+(AR10+AH10+BB10+BL10)/AB10</f>
        <v>0.91666666666666663</v>
      </c>
      <c r="BQ10" s="839"/>
      <c r="BR10" s="633">
        <f>IF(AND(AD10=0,AG10=0),"No Prog ni Ejec",IF(AD10=0,CONCATENATE("No Prog, Ejec=  ",AG10),AG10/AD10))</f>
        <v>0</v>
      </c>
      <c r="BS10" s="1208">
        <f>IF(AND(AF10=0,AH10=0),"No Prog ni Ejec",IF(AF10=0,CONCATENATE("No Prog, Ejec=  ",AH10),AH10/AF10))</f>
        <v>0.66666666666666663</v>
      </c>
      <c r="BT10" s="633">
        <f>IF(AND(AN10=0,AQ10=0),"No Prog ni Ejec",IF(AN10=0,CONCATENATE("No Prog, Ejec=  ",AQ10),AQ10/AN10))</f>
        <v>0</v>
      </c>
      <c r="BU10" s="1208">
        <f>IF(AND(AP10=0,AR10=0),"No Prog ni Ejec",IF(AP10=0,CONCATENATE("No Prog, Ejec=  ",AR10),AR10/AP10))</f>
        <v>1</v>
      </c>
      <c r="BV10" s="633">
        <f>IF(AND(AX10=0,BA10=0),"No Prog ni Ejec",IF(AX10=0,CONCATENATE("No Prog, Ejec=  ",BA10),BA10/AX10))</f>
        <v>0</v>
      </c>
      <c r="BW10" s="1208">
        <f>IF(AND(AZ10=0,BB10=0),"No Prog ni Ejec",IF(AZ10=0,CONCATENATE("No Prog, Ejec=  ",BB10),BB10/AZ10))</f>
        <v>1</v>
      </c>
      <c r="BX10" s="633">
        <f>IF(AND(BH10=0,BK10=0),"No Prog ni Ejec",IF(BH10=0,CONCATENATE("No Prog, Ejec=  ",BK10),BK10/BH10))</f>
        <v>0</v>
      </c>
      <c r="BY10" s="1268">
        <f>IF(AND(BJ10=0,BL10=0),"No Prog ni Ejec",IF(BJ10=0,CONCATENATE("No Prog, Ejec=  ",BL10),BL10/BJ10))</f>
        <v>1</v>
      </c>
      <c r="BZ10" s="569">
        <f t="shared" ref="BZ10:BZ20" si="28">+AB10-AF10-AP10-AZ10-BJ10</f>
        <v>0</v>
      </c>
    </row>
    <row r="11" spans="1:229" s="69" customFormat="1" ht="180" hidden="1" customHeight="1" x14ac:dyDescent="0.2">
      <c r="A11" s="813">
        <v>11900</v>
      </c>
      <c r="B11" s="806" t="s">
        <v>125</v>
      </c>
      <c r="C11" s="806" t="s">
        <v>330</v>
      </c>
      <c r="D11" s="822" t="s">
        <v>1017</v>
      </c>
      <c r="E11" s="822" t="s">
        <v>1017</v>
      </c>
      <c r="F11" s="814" t="s">
        <v>126</v>
      </c>
      <c r="G11" s="806" t="s">
        <v>60</v>
      </c>
      <c r="H11" s="806" t="s">
        <v>204</v>
      </c>
      <c r="I11" s="806" t="s">
        <v>204</v>
      </c>
      <c r="J11" s="814" t="s">
        <v>926</v>
      </c>
      <c r="K11" s="806" t="s">
        <v>495</v>
      </c>
      <c r="L11" s="817" t="s">
        <v>51</v>
      </c>
      <c r="M11" s="811">
        <v>1</v>
      </c>
      <c r="N11" s="1210"/>
      <c r="O11" s="836" t="s">
        <v>494</v>
      </c>
      <c r="P11" s="1310"/>
      <c r="Q11" s="1206"/>
      <c r="R11" s="1201"/>
      <c r="S11" s="1201"/>
      <c r="T11" s="1201"/>
      <c r="U11" s="1201"/>
      <c r="V11" s="1201"/>
      <c r="W11" s="1327"/>
      <c r="X11" s="806" t="s">
        <v>1513</v>
      </c>
      <c r="Y11" s="1201"/>
      <c r="Z11" s="811">
        <v>1</v>
      </c>
      <c r="AA11" s="806" t="str">
        <f>+O11</f>
        <v>Conciliar con el Grupo de Tesorería de la DGRFS los pagos realizados por los terceros deudores con ocasión de los acuerdos de pago</v>
      </c>
      <c r="AB11" s="1207"/>
      <c r="AC11" s="836" t="s">
        <v>46</v>
      </c>
      <c r="AD11" s="805">
        <v>0</v>
      </c>
      <c r="AE11" s="806" t="str">
        <f t="shared" si="0"/>
        <v>Conciliar con el Grupo de Tesorería de la DGRFS los pagos realizados por los terceros deudores con ocasión de los acuerdos de pago</v>
      </c>
      <c r="AF11" s="1205"/>
      <c r="AG11" s="468">
        <f>(277/233)*AD11</f>
        <v>0</v>
      </c>
      <c r="AH11" s="1332"/>
      <c r="AI11" s="807" t="e">
        <f>+(AG11/AD11)</f>
        <v>#DIV/0!</v>
      </c>
      <c r="AJ11" s="1196"/>
      <c r="AK11" s="807">
        <f>+(AG11/Z11)</f>
        <v>0</v>
      </c>
      <c r="AL11" s="1196"/>
      <c r="AM11" s="475" t="s">
        <v>1590</v>
      </c>
      <c r="AN11" s="805">
        <v>0</v>
      </c>
      <c r="AO11" s="806" t="str">
        <f t="shared" si="5"/>
        <v>Conciliar con el Grupo de Tesorería de la DGRFS los pagos realizados por los terceros deudores con ocasión de los acuerdos de pago</v>
      </c>
      <c r="AP11" s="1205"/>
      <c r="AQ11" s="817">
        <v>0</v>
      </c>
      <c r="AR11" s="1336"/>
      <c r="AS11" s="807" t="e">
        <f>+(AQ11/AN11)</f>
        <v>#DIV/0!</v>
      </c>
      <c r="AT11" s="1196"/>
      <c r="AU11" s="807">
        <f>+(AQ11+AG11)/Z11</f>
        <v>0</v>
      </c>
      <c r="AV11" s="1196"/>
      <c r="AW11" s="465" t="s">
        <v>1697</v>
      </c>
      <c r="AX11" s="805">
        <v>0</v>
      </c>
      <c r="AY11" s="806" t="str">
        <f t="shared" si="10"/>
        <v>Conciliar con el Grupo de Tesorería de la DGRFS los pagos realizados por los terceros deudores con ocasión de los acuerdos de pago</v>
      </c>
      <c r="AZ11" s="1205"/>
      <c r="BA11" s="455">
        <v>0</v>
      </c>
      <c r="BB11" s="1310"/>
      <c r="BC11" s="807" t="e">
        <f>+(BA11/AX11)</f>
        <v>#DIV/0!</v>
      </c>
      <c r="BD11" s="1196"/>
      <c r="BE11" s="807">
        <f>+(AQ11+AG11+BA11)/Z11</f>
        <v>0</v>
      </c>
      <c r="BF11" s="1196"/>
      <c r="BG11" s="465" t="s">
        <v>1699</v>
      </c>
      <c r="BH11" s="805">
        <v>1</v>
      </c>
      <c r="BI11" s="806" t="str">
        <f t="shared" si="15"/>
        <v>Conciliar con el Grupo de Tesorería de la DGRFS los pagos realizados por los terceros deudores con ocasión de los acuerdos de pago</v>
      </c>
      <c r="BJ11" s="1205"/>
      <c r="BK11" s="1108">
        <f>(1270/1270)*100%</f>
        <v>1</v>
      </c>
      <c r="BL11" s="1330"/>
      <c r="BM11" s="805">
        <f>+(BK11/BH11)</f>
        <v>1</v>
      </c>
      <c r="BN11" s="1328"/>
      <c r="BO11" s="805">
        <f>+(AQ11+AG11+BA11+BK11)/Z11</f>
        <v>1</v>
      </c>
      <c r="BP11" s="1328"/>
      <c r="BQ11" s="682" t="s">
        <v>2022</v>
      </c>
      <c r="BR11" s="631" t="str">
        <f>IF(AND(AD11=0,AG11=0),"No Prog ni Ejec",IF(AD11=0,CONCATENATE("No Prog, Ejec=  ",AG11),AG11/AD11))</f>
        <v>No Prog ni Ejec</v>
      </c>
      <c r="BS11" s="1208"/>
      <c r="BT11" s="631" t="str">
        <f>IF(AND(AN11=0,AQ11=0),"No Prog ni Ejec",IF(AN11=0,CONCATENATE("No Prog, Ejec=  ",AQ11),AQ11/AN11))</f>
        <v>No Prog ni Ejec</v>
      </c>
      <c r="BU11" s="1208"/>
      <c r="BV11" s="631" t="str">
        <f>IF(AND(AX11=0,BA11=0),"No Prog ni Ejec",IF(AX11=0,CONCATENATE("No Prog, Ejec=  ",BA11),BA11/AX11))</f>
        <v>No Prog ni Ejec</v>
      </c>
      <c r="BW11" s="1208"/>
      <c r="BX11" s="631">
        <f>IF(AND(BH11=0,BK11=0),"No Prog ni Ejec",IF(BH11=0,CONCATENATE("No Prog, Ejec=  ",BK11),BK11/BH11))</f>
        <v>1</v>
      </c>
      <c r="BY11" s="1268"/>
      <c r="BZ11" s="127">
        <f t="shared" si="28"/>
        <v>0</v>
      </c>
    </row>
    <row r="12" spans="1:229" s="69" customFormat="1" ht="294" hidden="1" customHeight="1" x14ac:dyDescent="0.2">
      <c r="A12" s="813">
        <v>11900</v>
      </c>
      <c r="B12" s="806" t="s">
        <v>125</v>
      </c>
      <c r="C12" s="806" t="s">
        <v>330</v>
      </c>
      <c r="D12" s="822" t="s">
        <v>1017</v>
      </c>
      <c r="E12" s="822" t="s">
        <v>1017</v>
      </c>
      <c r="F12" s="814" t="s">
        <v>126</v>
      </c>
      <c r="G12" s="806" t="s">
        <v>60</v>
      </c>
      <c r="H12" s="806" t="s">
        <v>204</v>
      </c>
      <c r="I12" s="806" t="s">
        <v>204</v>
      </c>
      <c r="J12" s="814" t="s">
        <v>927</v>
      </c>
      <c r="K12" s="806" t="s">
        <v>1517</v>
      </c>
      <c r="L12" s="817" t="s">
        <v>51</v>
      </c>
      <c r="M12" s="67">
        <v>700</v>
      </c>
      <c r="N12" s="1210"/>
      <c r="O12" s="836" t="s">
        <v>1515</v>
      </c>
      <c r="P12" s="1310"/>
      <c r="Q12" s="1206"/>
      <c r="R12" s="1201"/>
      <c r="S12" s="1201"/>
      <c r="T12" s="1201"/>
      <c r="U12" s="1201"/>
      <c r="V12" s="1201"/>
      <c r="W12" s="1327"/>
      <c r="X12" s="806" t="s">
        <v>1516</v>
      </c>
      <c r="Y12" s="1201"/>
      <c r="Z12" s="66">
        <v>700</v>
      </c>
      <c r="AA12" s="806" t="str">
        <f>+O12</f>
        <v>Determinar la cartera susceptible de depuración, conforme a las normas contables aplicables</v>
      </c>
      <c r="AB12" s="1207"/>
      <c r="AC12" s="836" t="s">
        <v>46</v>
      </c>
      <c r="AD12" s="66">
        <v>0</v>
      </c>
      <c r="AE12" s="806" t="str">
        <f t="shared" si="0"/>
        <v>Determinar la cartera susceptible de depuración, conforme a las normas contables aplicables</v>
      </c>
      <c r="AF12" s="1205"/>
      <c r="AG12" s="828">
        <v>0</v>
      </c>
      <c r="AH12" s="1332"/>
      <c r="AI12" s="807" t="e">
        <f>+(AG12/AD12)</f>
        <v>#DIV/0!</v>
      </c>
      <c r="AJ12" s="1196"/>
      <c r="AK12" s="807">
        <f>+(AG12/Z12)</f>
        <v>0</v>
      </c>
      <c r="AL12" s="1196"/>
      <c r="AM12" s="475" t="s">
        <v>1357</v>
      </c>
      <c r="AN12" s="66">
        <v>0</v>
      </c>
      <c r="AO12" s="806" t="str">
        <f t="shared" si="5"/>
        <v>Determinar la cartera susceptible de depuración, conforme a las normas contables aplicables</v>
      </c>
      <c r="AP12" s="1205"/>
      <c r="AQ12" s="817">
        <v>0</v>
      </c>
      <c r="AR12" s="1336"/>
      <c r="AS12" s="807" t="e">
        <f>+(AQ12/AN12)</f>
        <v>#DIV/0!</v>
      </c>
      <c r="AT12" s="1196"/>
      <c r="AU12" s="807">
        <f>+(AQ12+AG12)/Z12</f>
        <v>0</v>
      </c>
      <c r="AV12" s="1196"/>
      <c r="AW12" s="465" t="s">
        <v>1697</v>
      </c>
      <c r="AX12" s="66">
        <v>0</v>
      </c>
      <c r="AY12" s="806" t="str">
        <f t="shared" si="10"/>
        <v>Determinar la cartera susceptible de depuración, conforme a las normas contables aplicables</v>
      </c>
      <c r="AZ12" s="1205"/>
      <c r="BA12" s="455">
        <v>0</v>
      </c>
      <c r="BB12" s="1310"/>
      <c r="BC12" s="807" t="e">
        <f>+(BA12/AX12)</f>
        <v>#DIV/0!</v>
      </c>
      <c r="BD12" s="1196"/>
      <c r="BE12" s="807">
        <f>+(AQ12+AG12+BA12)/Z12</f>
        <v>0</v>
      </c>
      <c r="BF12" s="1196"/>
      <c r="BG12" s="465" t="s">
        <v>1699</v>
      </c>
      <c r="BH12" s="66">
        <v>700</v>
      </c>
      <c r="BI12" s="806" t="str">
        <f t="shared" si="15"/>
        <v>Determinar la cartera susceptible de depuración, conforme a las normas contables aplicables</v>
      </c>
      <c r="BJ12" s="1205"/>
      <c r="BK12" s="1152">
        <v>700</v>
      </c>
      <c r="BL12" s="1331"/>
      <c r="BM12" s="805">
        <f>+(BK12/BH12)</f>
        <v>1</v>
      </c>
      <c r="BN12" s="1328"/>
      <c r="BO12" s="805">
        <f>+(AQ12+AG12+BA12+BK12)/Z12</f>
        <v>1</v>
      </c>
      <c r="BP12" s="1328"/>
      <c r="BQ12" s="1106" t="s">
        <v>2091</v>
      </c>
      <c r="BR12" s="631" t="str">
        <f>IF(AND(AD12=0,AG12=0),"No Prog ni Ejec",IF(AD12=0,CONCATENATE("No Prog, Ejec=  ",AG12),AG12/AD12))</f>
        <v>No Prog ni Ejec</v>
      </c>
      <c r="BS12" s="1208"/>
      <c r="BT12" s="631" t="str">
        <f>IF(AND(AN12=0,AQ12=0),"No Prog ni Ejec",IF(AN12=0,CONCATENATE("No Prog, Ejec=  ",AQ12),AQ12/AN12))</f>
        <v>No Prog ni Ejec</v>
      </c>
      <c r="BU12" s="1208"/>
      <c r="BV12" s="631" t="str">
        <f>IF(AND(AX12=0,BA12=0),"No Prog ni Ejec",IF(AX12=0,CONCATENATE("No Prog, Ejec=  ",BA12),BA12/AX12))</f>
        <v>No Prog ni Ejec</v>
      </c>
      <c r="BW12" s="1208"/>
      <c r="BX12" s="631">
        <f>IF(AND(BH12=0,BK12=0),"No Prog ni Ejec",IF(BH12=0,CONCATENATE("No Prog, Ejec=  ",BK12),BK12/BH12))</f>
        <v>1</v>
      </c>
      <c r="BY12" s="1268"/>
      <c r="BZ12" s="127">
        <f t="shared" si="28"/>
        <v>0</v>
      </c>
    </row>
    <row r="13" spans="1:229" s="69" customFormat="1" ht="127.5" hidden="1" x14ac:dyDescent="0.2">
      <c r="A13" s="813">
        <v>11900</v>
      </c>
      <c r="B13" s="806" t="s">
        <v>125</v>
      </c>
      <c r="C13" s="806" t="s">
        <v>330</v>
      </c>
      <c r="D13" s="822" t="s">
        <v>1017</v>
      </c>
      <c r="E13" s="822" t="s">
        <v>1017</v>
      </c>
      <c r="F13" s="814" t="s">
        <v>126</v>
      </c>
      <c r="G13" s="806" t="s">
        <v>60</v>
      </c>
      <c r="H13" s="806" t="s">
        <v>204</v>
      </c>
      <c r="I13" s="806" t="s">
        <v>204</v>
      </c>
      <c r="J13" s="814" t="s">
        <v>627</v>
      </c>
      <c r="K13" s="806" t="s">
        <v>642</v>
      </c>
      <c r="L13" s="817" t="s">
        <v>51</v>
      </c>
      <c r="M13" s="811">
        <v>1</v>
      </c>
      <c r="N13" s="814" t="s">
        <v>592</v>
      </c>
      <c r="O13" s="836" t="s">
        <v>641</v>
      </c>
      <c r="P13" s="826">
        <v>27880404</v>
      </c>
      <c r="Q13" s="811">
        <v>1</v>
      </c>
      <c r="R13" s="806" t="s">
        <v>18</v>
      </c>
      <c r="S13" s="806" t="s">
        <v>24</v>
      </c>
      <c r="T13" s="806" t="s">
        <v>204</v>
      </c>
      <c r="U13" s="806" t="s">
        <v>633</v>
      </c>
      <c r="V13" s="806" t="s">
        <v>1042</v>
      </c>
      <c r="W13" s="806" t="s">
        <v>1266</v>
      </c>
      <c r="X13" s="806" t="s">
        <v>1519</v>
      </c>
      <c r="Y13" s="806" t="s">
        <v>204</v>
      </c>
      <c r="Z13" s="805">
        <v>1</v>
      </c>
      <c r="AA13" s="806" t="str">
        <f>+O13</f>
        <v>Actualizar las bases de información sobre la gestión del cobro coactivo</v>
      </c>
      <c r="AB13" s="812">
        <f>+P13</f>
        <v>27880404</v>
      </c>
      <c r="AC13" s="836" t="s">
        <v>46</v>
      </c>
      <c r="AD13" s="805">
        <v>0.25</v>
      </c>
      <c r="AE13" s="806" t="str">
        <f t="shared" si="0"/>
        <v>Actualizar las bases de información sobre la gestión del cobro coactivo</v>
      </c>
      <c r="AF13" s="810">
        <f>(AB13/11)*2</f>
        <v>5069164.3636363633</v>
      </c>
      <c r="AG13" s="468">
        <f>2288/5111*25%</f>
        <v>0.11191547642340051</v>
      </c>
      <c r="AH13" s="828" t="s">
        <v>1355</v>
      </c>
      <c r="AI13" s="807">
        <f>+(AG13/AD13)</f>
        <v>0.44766190569360204</v>
      </c>
      <c r="AJ13" s="807">
        <f>+(AH13/AF13)</f>
        <v>0.80972221564651647</v>
      </c>
      <c r="AK13" s="807">
        <f>+(AG13/Z13)</f>
        <v>0.11191547642340051</v>
      </c>
      <c r="AL13" s="807">
        <f>+(AH13/AB13)</f>
        <v>0.14722222102663934</v>
      </c>
      <c r="AM13" s="475" t="s">
        <v>1591</v>
      </c>
      <c r="AN13" s="805">
        <v>0.25</v>
      </c>
      <c r="AO13" s="806" t="str">
        <f>+AA13</f>
        <v>Actualizar las bases de información sobre la gestión del cobro coactivo</v>
      </c>
      <c r="AP13" s="810">
        <f>(AB13/11)*3</f>
        <v>7603746.5454545449</v>
      </c>
      <c r="AQ13" s="824">
        <f>(18136/18136)*25%</f>
        <v>0.25</v>
      </c>
      <c r="AR13" s="676">
        <v>6970101</v>
      </c>
      <c r="AS13" s="807">
        <f>+(AQ13/AN13)</f>
        <v>1</v>
      </c>
      <c r="AT13" s="807">
        <f>+(AR13/AP13)</f>
        <v>0.91666666666666674</v>
      </c>
      <c r="AU13" s="807">
        <f>+(AQ13+AG13)/Z13</f>
        <v>0.3619154764234005</v>
      </c>
      <c r="AV13" s="807">
        <f>+(AR13+AH13)/AB13</f>
        <v>0.39722222102663934</v>
      </c>
      <c r="AW13" s="808" t="s">
        <v>1698</v>
      </c>
      <c r="AX13" s="805">
        <v>0.25</v>
      </c>
      <c r="AY13" s="806" t="str">
        <f t="shared" si="10"/>
        <v>Actualizar las bases de información sobre la gestión del cobro coactivo</v>
      </c>
      <c r="AZ13" s="810">
        <f>(AB13/11)*3</f>
        <v>7603746.5454545449</v>
      </c>
      <c r="BA13" s="969">
        <f>1404/1404*25%</f>
        <v>0.25</v>
      </c>
      <c r="BB13" s="956">
        <v>6970101</v>
      </c>
      <c r="BC13" s="807">
        <f>+(BA13/AX13)</f>
        <v>1</v>
      </c>
      <c r="BD13" s="807">
        <f>+(BB13/AZ13)</f>
        <v>0.91666666666666674</v>
      </c>
      <c r="BE13" s="807">
        <f>+(AQ13+AG13+BA13)/Z13</f>
        <v>0.6119154764234005</v>
      </c>
      <c r="BF13" s="807">
        <f>+(AR13+AH13+BB13)/AB13</f>
        <v>0.6472222210266394</v>
      </c>
      <c r="BG13" s="945"/>
      <c r="BH13" s="805">
        <v>0.25</v>
      </c>
      <c r="BI13" s="806" t="str">
        <f t="shared" si="15"/>
        <v>Actualizar las bases de información sobre la gestión del cobro coactivo</v>
      </c>
      <c r="BJ13" s="810">
        <f>(AB13/11)*3</f>
        <v>7603746.5454545449</v>
      </c>
      <c r="BK13" s="1108">
        <f>5054/5054*25%</f>
        <v>0.25</v>
      </c>
      <c r="BL13" s="1109">
        <v>6970101</v>
      </c>
      <c r="BM13" s="805">
        <f>+(BK13/BH13)</f>
        <v>1</v>
      </c>
      <c r="BN13" s="805">
        <f>+(BL13/BJ13)</f>
        <v>0.91666666666666674</v>
      </c>
      <c r="BO13" s="805">
        <f>+(AQ13+AG13+BA13+BK13)/Z13</f>
        <v>0.8619154764234005</v>
      </c>
      <c r="BP13" s="805">
        <f>+(AR13+AH13+BB13+BL13)/AB13</f>
        <v>0.8972222210266394</v>
      </c>
      <c r="BQ13" s="682" t="s">
        <v>2023</v>
      </c>
      <c r="BR13" s="631">
        <f>IF(AND(AD13=0,AG13=0),"No Prog ni Ejec",IF(AD13=0,CONCATENATE("No Prog, Ejec=  ",AG13),AG13/AD13))</f>
        <v>0.44766190569360204</v>
      </c>
      <c r="BS13" s="631">
        <f>IF(AND(AF13=0,AH13=0),"No Prog ni Ejec",IF(AF13=0,CONCATENATE("No Prog, Ejec=  ",AH13),AH13/AF13))</f>
        <v>0.80972221564651647</v>
      </c>
      <c r="BT13" s="631">
        <f>IF(AND(AN13=0,AQ13=0),"No Prog ni Ejec",IF(AN13=0,CONCATENATE("No Prog, Ejec=  ",AQ13),AQ13/AN13))</f>
        <v>1</v>
      </c>
      <c r="BU13" s="631">
        <f>IF(AND(AP13=0,AR13=0),"No Prog ni Ejec",IF(AP13=0,CONCATENATE("No Prog, Ejec=  ",AR13),AR13/AP13))</f>
        <v>0.91666666666666674</v>
      </c>
      <c r="BV13" s="631">
        <f>IF(AND(AX13=0,BA13=0),"No Prog ni Ejec",IF(AX13=0,CONCATENATE("No Prog, Ejec=  ",BA13),BA13/AX13))</f>
        <v>1</v>
      </c>
      <c r="BW13" s="631">
        <f>IF(AND(AZ13=0,BB13=0),"No Prog ni Ejec",IF(AZ13=0,CONCATENATE("No Prog, Ejec=  ",BB13),BB13/AZ13))</f>
        <v>0.91666666666666674</v>
      </c>
      <c r="BX13" s="631">
        <f>IF(AND(BH13=0,BK13=0),"No Prog ni Ejec",IF(BH13=0,CONCATENATE("No Prog, Ejec=  ",BK13),BK13/BH13))</f>
        <v>1</v>
      </c>
      <c r="BY13" s="685">
        <f>IF(AND(BJ13=0,BL13=0),"No Prog ni Ejec",IF(BJ13=0,CONCATENATE("No Prog, Ejec=  ",BL13),BL13/BJ13))</f>
        <v>0.91666666666666674</v>
      </c>
      <c r="BZ13" s="127">
        <f t="shared" si="28"/>
        <v>0</v>
      </c>
    </row>
    <row r="14" spans="1:229" s="69" customFormat="1" ht="127.5" hidden="1" x14ac:dyDescent="0.2">
      <c r="A14" s="813">
        <v>11900</v>
      </c>
      <c r="B14" s="806" t="s">
        <v>125</v>
      </c>
      <c r="C14" s="806" t="s">
        <v>330</v>
      </c>
      <c r="D14" s="822" t="s">
        <v>1017</v>
      </c>
      <c r="E14" s="822"/>
      <c r="F14" s="814" t="s">
        <v>126</v>
      </c>
      <c r="G14" s="806" t="s">
        <v>60</v>
      </c>
      <c r="H14" s="806" t="s">
        <v>204</v>
      </c>
      <c r="I14" s="806" t="s">
        <v>204</v>
      </c>
      <c r="J14" s="814" t="s">
        <v>596</v>
      </c>
      <c r="K14" s="1201" t="s">
        <v>496</v>
      </c>
      <c r="L14" s="817" t="s">
        <v>51</v>
      </c>
      <c r="M14" s="811">
        <v>1</v>
      </c>
      <c r="N14" s="1210" t="s">
        <v>593</v>
      </c>
      <c r="O14" s="1201" t="s">
        <v>1523</v>
      </c>
      <c r="P14" s="1303">
        <v>0</v>
      </c>
      <c r="Q14" s="1206">
        <v>1</v>
      </c>
      <c r="R14" s="1201" t="s">
        <v>17</v>
      </c>
      <c r="S14" s="1201" t="s">
        <v>26</v>
      </c>
      <c r="T14" s="1201" t="s">
        <v>629</v>
      </c>
      <c r="U14" s="1201" t="s">
        <v>631</v>
      </c>
      <c r="V14" s="1201" t="s">
        <v>1042</v>
      </c>
      <c r="W14" s="1327" t="s">
        <v>1266</v>
      </c>
      <c r="X14" s="806" t="s">
        <v>1520</v>
      </c>
      <c r="Y14" s="1201" t="s">
        <v>204</v>
      </c>
      <c r="Z14" s="83">
        <v>1</v>
      </c>
      <c r="AA14" s="1201" t="str">
        <f>+O14</f>
        <v>Determinar la cartera susceptible de venta a CISA S.A.</v>
      </c>
      <c r="AB14" s="1207">
        <f>+P14</f>
        <v>0</v>
      </c>
      <c r="AC14" s="836" t="s">
        <v>48</v>
      </c>
      <c r="AD14" s="805">
        <v>0</v>
      </c>
      <c r="AE14" s="1201" t="str">
        <f t="shared" si="0"/>
        <v>Determinar la cartera susceptible de venta a CISA S.A.</v>
      </c>
      <c r="AF14" s="1207">
        <v>0</v>
      </c>
      <c r="AG14" s="828">
        <v>0</v>
      </c>
      <c r="AH14" s="489">
        <v>0</v>
      </c>
      <c r="AI14" s="807" t="e">
        <f t="shared" si="1"/>
        <v>#DIV/0!</v>
      </c>
      <c r="AJ14" s="807" t="e">
        <f t="shared" si="2"/>
        <v>#DIV/0!</v>
      </c>
      <c r="AK14" s="807">
        <f t="shared" si="3"/>
        <v>0</v>
      </c>
      <c r="AL14" s="807" t="e">
        <f t="shared" si="4"/>
        <v>#DIV/0!</v>
      </c>
      <c r="AM14" s="475" t="s">
        <v>1358</v>
      </c>
      <c r="AN14" s="805">
        <v>0</v>
      </c>
      <c r="AO14" s="1201" t="str">
        <f t="shared" si="5"/>
        <v>Determinar la cartera susceptible de venta a CISA S.A.</v>
      </c>
      <c r="AP14" s="1207">
        <v>0</v>
      </c>
      <c r="AQ14" s="824">
        <v>0</v>
      </c>
      <c r="AR14" s="810">
        <v>0</v>
      </c>
      <c r="AS14" s="807" t="e">
        <f t="shared" si="6"/>
        <v>#DIV/0!</v>
      </c>
      <c r="AT14" s="807" t="e">
        <f t="shared" si="7"/>
        <v>#DIV/0!</v>
      </c>
      <c r="AU14" s="807">
        <f t="shared" si="8"/>
        <v>0</v>
      </c>
      <c r="AV14" s="807" t="e">
        <f t="shared" si="9"/>
        <v>#DIV/0!</v>
      </c>
      <c r="AW14" s="465" t="s">
        <v>1699</v>
      </c>
      <c r="AX14" s="805">
        <v>0</v>
      </c>
      <c r="AY14" s="1201" t="str">
        <f t="shared" si="10"/>
        <v>Determinar la cartera susceptible de venta a CISA S.A.</v>
      </c>
      <c r="AZ14" s="1207">
        <v>0</v>
      </c>
      <c r="BA14" s="455">
        <v>0</v>
      </c>
      <c r="BB14" s="956">
        <v>0</v>
      </c>
      <c r="BC14" s="807" t="e">
        <f t="shared" si="11"/>
        <v>#DIV/0!</v>
      </c>
      <c r="BD14" s="807" t="e">
        <f t="shared" si="12"/>
        <v>#DIV/0!</v>
      </c>
      <c r="BE14" s="807">
        <f t="shared" si="13"/>
        <v>0</v>
      </c>
      <c r="BF14" s="807" t="e">
        <f t="shared" si="14"/>
        <v>#DIV/0!</v>
      </c>
      <c r="BG14" s="465" t="s">
        <v>1699</v>
      </c>
      <c r="BH14" s="805">
        <v>1</v>
      </c>
      <c r="BI14" s="1201" t="str">
        <f t="shared" si="15"/>
        <v>Determinar la cartera susceptible de venta a CISA S.A.</v>
      </c>
      <c r="BJ14" s="1207">
        <v>0</v>
      </c>
      <c r="BK14" s="1108">
        <f>3579/3579*100%</f>
        <v>1</v>
      </c>
      <c r="BL14" s="818">
        <v>0</v>
      </c>
      <c r="BM14" s="805">
        <f t="shared" si="16"/>
        <v>1</v>
      </c>
      <c r="BN14" s="805" t="e">
        <f t="shared" si="17"/>
        <v>#DIV/0!</v>
      </c>
      <c r="BO14" s="805">
        <f t="shared" si="18"/>
        <v>1</v>
      </c>
      <c r="BP14" s="805" t="e">
        <f t="shared" si="19"/>
        <v>#DIV/0!</v>
      </c>
      <c r="BQ14" s="682" t="s">
        <v>2024</v>
      </c>
      <c r="BR14" s="631" t="str">
        <f t="shared" si="20"/>
        <v>No Prog ni Ejec</v>
      </c>
      <c r="BS14" s="631" t="str">
        <f t="shared" si="21"/>
        <v>No Prog ni Ejec</v>
      </c>
      <c r="BT14" s="631" t="str">
        <f t="shared" si="22"/>
        <v>No Prog ni Ejec</v>
      </c>
      <c r="BU14" s="631" t="str">
        <f t="shared" si="23"/>
        <v>No Prog ni Ejec</v>
      </c>
      <c r="BV14" s="631" t="str">
        <f t="shared" si="24"/>
        <v>No Prog ni Ejec</v>
      </c>
      <c r="BW14" s="631" t="str">
        <f t="shared" si="25"/>
        <v>No Prog ni Ejec</v>
      </c>
      <c r="BX14" s="631">
        <f t="shared" si="26"/>
        <v>1</v>
      </c>
      <c r="BY14" s="685" t="str">
        <f t="shared" si="27"/>
        <v>No Prog ni Ejec</v>
      </c>
      <c r="BZ14" s="127">
        <f t="shared" si="28"/>
        <v>0</v>
      </c>
    </row>
    <row r="15" spans="1:229" s="69" customFormat="1" ht="99" hidden="1" customHeight="1" x14ac:dyDescent="0.2">
      <c r="A15" s="813">
        <v>11900</v>
      </c>
      <c r="B15" s="806" t="s">
        <v>125</v>
      </c>
      <c r="C15" s="806" t="s">
        <v>330</v>
      </c>
      <c r="D15" s="822" t="s">
        <v>1017</v>
      </c>
      <c r="E15" s="822"/>
      <c r="F15" s="814" t="s">
        <v>126</v>
      </c>
      <c r="G15" s="806" t="s">
        <v>60</v>
      </c>
      <c r="H15" s="806" t="s">
        <v>204</v>
      </c>
      <c r="I15" s="806" t="s">
        <v>204</v>
      </c>
      <c r="J15" s="814" t="s">
        <v>597</v>
      </c>
      <c r="K15" s="1201"/>
      <c r="L15" s="817" t="s">
        <v>51</v>
      </c>
      <c r="M15" s="872">
        <v>1.35E-2</v>
      </c>
      <c r="N15" s="1210"/>
      <c r="O15" s="1201"/>
      <c r="P15" s="1303"/>
      <c r="Q15" s="1206"/>
      <c r="R15" s="1201"/>
      <c r="S15" s="1201"/>
      <c r="T15" s="1201"/>
      <c r="U15" s="1201"/>
      <c r="V15" s="1201"/>
      <c r="W15" s="1327"/>
      <c r="X15" s="806" t="s">
        <v>1521</v>
      </c>
      <c r="Y15" s="1201"/>
      <c r="Z15" s="872">
        <v>1.35E-2</v>
      </c>
      <c r="AA15" s="1201"/>
      <c r="AB15" s="1207"/>
      <c r="AC15" s="836" t="s">
        <v>48</v>
      </c>
      <c r="AD15" s="805">
        <v>0</v>
      </c>
      <c r="AE15" s="1201">
        <f t="shared" si="0"/>
        <v>0</v>
      </c>
      <c r="AF15" s="1207"/>
      <c r="AG15" s="462">
        <v>0</v>
      </c>
      <c r="AH15" s="489">
        <v>0</v>
      </c>
      <c r="AI15" s="807" t="e">
        <f t="shared" si="1"/>
        <v>#DIV/0!</v>
      </c>
      <c r="AJ15" s="807" t="e">
        <f>+(AH15/AF14)</f>
        <v>#DIV/0!</v>
      </c>
      <c r="AK15" s="807">
        <f t="shared" si="3"/>
        <v>0</v>
      </c>
      <c r="AL15" s="807" t="e">
        <f>+(AH15/AB14)</f>
        <v>#DIV/0!</v>
      </c>
      <c r="AM15" s="475" t="s">
        <v>1359</v>
      </c>
      <c r="AN15" s="805">
        <v>0</v>
      </c>
      <c r="AO15" s="1201">
        <f t="shared" si="5"/>
        <v>0</v>
      </c>
      <c r="AP15" s="1207"/>
      <c r="AQ15" s="824">
        <v>0</v>
      </c>
      <c r="AR15" s="810">
        <v>0</v>
      </c>
      <c r="AS15" s="807" t="e">
        <f t="shared" si="6"/>
        <v>#DIV/0!</v>
      </c>
      <c r="AT15" s="807" t="e">
        <f>+(AR15/AP14)</f>
        <v>#DIV/0!</v>
      </c>
      <c r="AU15" s="807">
        <f>+(AQ15+AG15)/Z15</f>
        <v>0</v>
      </c>
      <c r="AV15" s="957" t="e">
        <f>+(AR15+AH15)/AB14</f>
        <v>#DIV/0!</v>
      </c>
      <c r="AW15" s="465" t="s">
        <v>1699</v>
      </c>
      <c r="AX15" s="805">
        <v>0</v>
      </c>
      <c r="AY15" s="1201">
        <f t="shared" si="10"/>
        <v>0</v>
      </c>
      <c r="AZ15" s="1207"/>
      <c r="BA15" s="455">
        <v>0</v>
      </c>
      <c r="BB15" s="956">
        <v>0</v>
      </c>
      <c r="BC15" s="807" t="e">
        <f>+(BA15/AX15)</f>
        <v>#DIV/0!</v>
      </c>
      <c r="BD15" s="807" t="e">
        <f>+(BB15/AZ14)</f>
        <v>#DIV/0!</v>
      </c>
      <c r="BE15" s="807">
        <f>+(AQ15+AG15+BA15)/Z15</f>
        <v>0</v>
      </c>
      <c r="BF15" s="957" t="e">
        <f>+(AR15+AH15+BB15)/AB14</f>
        <v>#DIV/0!</v>
      </c>
      <c r="BG15" s="465" t="s">
        <v>1699</v>
      </c>
      <c r="BH15" s="525">
        <v>1.35E-2</v>
      </c>
      <c r="BI15" s="1201">
        <f t="shared" si="15"/>
        <v>0</v>
      </c>
      <c r="BJ15" s="1207"/>
      <c r="BK15" s="818">
        <f>0/83711305</f>
        <v>0</v>
      </c>
      <c r="BL15" s="818">
        <v>0</v>
      </c>
      <c r="BM15" s="805">
        <f t="shared" si="16"/>
        <v>0</v>
      </c>
      <c r="BN15" s="805" t="e">
        <f>+(BL15/BJ14)</f>
        <v>#DIV/0!</v>
      </c>
      <c r="BO15" s="805">
        <f t="shared" si="18"/>
        <v>0</v>
      </c>
      <c r="BP15" s="960" t="e">
        <f>+(AR15+AH15+BB15+BL15)/AB14</f>
        <v>#DIV/0!</v>
      </c>
      <c r="BQ15" s="682" t="s">
        <v>2025</v>
      </c>
      <c r="BR15" s="631" t="str">
        <f t="shared" si="20"/>
        <v>No Prog ni Ejec</v>
      </c>
      <c r="BS15" s="631" t="str">
        <f t="shared" si="21"/>
        <v>No Prog ni Ejec</v>
      </c>
      <c r="BT15" s="631" t="str">
        <f t="shared" si="22"/>
        <v>No Prog ni Ejec</v>
      </c>
      <c r="BU15" s="631" t="str">
        <f t="shared" si="23"/>
        <v>No Prog ni Ejec</v>
      </c>
      <c r="BV15" s="631" t="str">
        <f t="shared" si="24"/>
        <v>No Prog ni Ejec</v>
      </c>
      <c r="BW15" s="631" t="str">
        <f t="shared" si="25"/>
        <v>No Prog ni Ejec</v>
      </c>
      <c r="BX15" s="631">
        <f t="shared" si="26"/>
        <v>0</v>
      </c>
      <c r="BY15" s="685" t="str">
        <f t="shared" si="27"/>
        <v>No Prog ni Ejec</v>
      </c>
      <c r="BZ15" s="127">
        <f t="shared" si="28"/>
        <v>0</v>
      </c>
    </row>
    <row r="16" spans="1:229" s="82" customFormat="1" ht="306" x14ac:dyDescent="0.2">
      <c r="A16" s="813">
        <v>11300</v>
      </c>
      <c r="B16" s="806" t="s">
        <v>2</v>
      </c>
      <c r="C16" s="806" t="s">
        <v>330</v>
      </c>
      <c r="D16" s="822" t="s">
        <v>1017</v>
      </c>
      <c r="E16" s="822"/>
      <c r="F16" s="814" t="s">
        <v>62</v>
      </c>
      <c r="G16" s="806" t="s">
        <v>59</v>
      </c>
      <c r="H16" s="806" t="s">
        <v>204</v>
      </c>
      <c r="I16" s="806" t="s">
        <v>204</v>
      </c>
      <c r="J16" s="814" t="s">
        <v>113</v>
      </c>
      <c r="K16" s="806" t="s">
        <v>153</v>
      </c>
      <c r="L16" s="817" t="s">
        <v>52</v>
      </c>
      <c r="M16" s="814">
        <v>12</v>
      </c>
      <c r="N16" s="814" t="s">
        <v>1303</v>
      </c>
      <c r="O16" s="806" t="s">
        <v>88</v>
      </c>
      <c r="P16" s="825">
        <v>0</v>
      </c>
      <c r="Q16" s="811">
        <v>1</v>
      </c>
      <c r="R16" s="806" t="s">
        <v>17</v>
      </c>
      <c r="S16" s="806" t="s">
        <v>26</v>
      </c>
      <c r="T16" s="806" t="s">
        <v>629</v>
      </c>
      <c r="U16" s="806" t="s">
        <v>632</v>
      </c>
      <c r="V16" s="806" t="s">
        <v>72</v>
      </c>
      <c r="W16" s="806"/>
      <c r="X16" s="806" t="s">
        <v>163</v>
      </c>
      <c r="Y16" s="806" t="s">
        <v>40</v>
      </c>
      <c r="Z16" s="814">
        <v>12</v>
      </c>
      <c r="AA16" s="806" t="str">
        <f t="shared" ref="AA16:AB20" si="29">+O16</f>
        <v>Realizar Informes de Ejecución Presupuestal</v>
      </c>
      <c r="AB16" s="812">
        <f t="shared" si="29"/>
        <v>0</v>
      </c>
      <c r="AC16" s="836" t="s">
        <v>48</v>
      </c>
      <c r="AD16" s="67">
        <v>3</v>
      </c>
      <c r="AE16" s="806" t="str">
        <f t="shared" ref="AE16:AE21" si="30">+AA16</f>
        <v>Realizar Informes de Ejecución Presupuestal</v>
      </c>
      <c r="AF16" s="810">
        <v>0</v>
      </c>
      <c r="AG16" s="467">
        <v>3</v>
      </c>
      <c r="AH16" s="840">
        <v>0</v>
      </c>
      <c r="AI16" s="807">
        <f t="shared" ref="AI16:AI21" si="31">+(AG16/AD16)</f>
        <v>1</v>
      </c>
      <c r="AJ16" s="807" t="e">
        <f t="shared" ref="AJ16:AJ21" si="32">+(AH16/AF16)</f>
        <v>#DIV/0!</v>
      </c>
      <c r="AK16" s="807">
        <f t="shared" ref="AK16:AK21" si="33">+(AG16/Z16)</f>
        <v>0.25</v>
      </c>
      <c r="AL16" s="807" t="e">
        <f t="shared" ref="AL16:AL21" si="34">+(AH16/AB16)</f>
        <v>#DIV/0!</v>
      </c>
      <c r="AM16" s="469" t="s">
        <v>1726</v>
      </c>
      <c r="AN16" s="67">
        <v>3</v>
      </c>
      <c r="AO16" s="806" t="str">
        <f t="shared" ref="AO16:AO21" si="35">+AA16</f>
        <v>Realizar Informes de Ejecución Presupuestal</v>
      </c>
      <c r="AP16" s="810">
        <v>0</v>
      </c>
      <c r="AQ16" s="817">
        <v>3</v>
      </c>
      <c r="AR16" s="840">
        <v>0</v>
      </c>
      <c r="AS16" s="807">
        <f t="shared" ref="AS16:AS21" si="36">+(AQ16/AN16)</f>
        <v>1</v>
      </c>
      <c r="AT16" s="807" t="e">
        <f t="shared" ref="AT16:AT21" si="37">+(AR16/AP16)</f>
        <v>#DIV/0!</v>
      </c>
      <c r="AU16" s="807">
        <f t="shared" ref="AU16:AU21" si="38">+(AQ16+AG16)/Z16</f>
        <v>0.5</v>
      </c>
      <c r="AV16" s="807" t="e">
        <f t="shared" ref="AV16:AV21" si="39">+(AR16+AH16)/AB16</f>
        <v>#DIV/0!</v>
      </c>
      <c r="AW16" s="808" t="s">
        <v>1727</v>
      </c>
      <c r="AX16" s="67">
        <v>3</v>
      </c>
      <c r="AY16" s="806" t="str">
        <f t="shared" ref="AY16:AY21" si="40">+AA16</f>
        <v>Realizar Informes de Ejecución Presupuestal</v>
      </c>
      <c r="AZ16" s="810">
        <v>0</v>
      </c>
      <c r="BA16" s="931">
        <v>3</v>
      </c>
      <c r="BB16" s="929">
        <v>0</v>
      </c>
      <c r="BC16" s="807">
        <f t="shared" ref="BC16:BC21" si="41">+(BA16/AX16)</f>
        <v>1</v>
      </c>
      <c r="BD16" s="807" t="e">
        <f t="shared" ref="BD16:BD21" si="42">+(BB16/AZ16)</f>
        <v>#DIV/0!</v>
      </c>
      <c r="BE16" s="807">
        <f t="shared" ref="BE16:BE21" si="43">+(AQ16+AG16+BA16)/Z16</f>
        <v>0.75</v>
      </c>
      <c r="BF16" s="807" t="e">
        <f t="shared" ref="BF16:BF21" si="44">+(AR16+AH16+BB16)/AB16</f>
        <v>#DIV/0!</v>
      </c>
      <c r="BG16" s="459" t="s">
        <v>1844</v>
      </c>
      <c r="BH16" s="67">
        <v>3</v>
      </c>
      <c r="BI16" s="806" t="str">
        <f t="shared" ref="BI16:BI21" si="45">+AA16</f>
        <v>Realizar Informes de Ejecución Presupuestal</v>
      </c>
      <c r="BJ16" s="810">
        <v>0</v>
      </c>
      <c r="BK16" s="1177">
        <v>3</v>
      </c>
      <c r="BL16" s="1186">
        <v>0</v>
      </c>
      <c r="BM16" s="805">
        <f t="shared" ref="BM16:BM21" si="46">+(BK16/BH16)</f>
        <v>1</v>
      </c>
      <c r="BN16" s="805" t="e">
        <f t="shared" ref="BN16:BN21" si="47">+(BL16/BJ16)</f>
        <v>#DIV/0!</v>
      </c>
      <c r="BO16" s="805">
        <f t="shared" ref="BO16:BO21" si="48">+(AQ16+AG16+BA16+BK16)/Z16</f>
        <v>1</v>
      </c>
      <c r="BP16" s="805" t="e">
        <f t="shared" ref="BP16:BP21" si="49">+(AR16+AH16+BB16+BL16)/AB16</f>
        <v>#DIV/0!</v>
      </c>
      <c r="BQ16" s="1178" t="s">
        <v>2098</v>
      </c>
      <c r="BR16" s="81">
        <f t="shared" ref="BR16:BR21" si="50">IF(AND(AD16=0,AG16=0),"No Prog ni Ejec",IF(AD16=0,CONCATENATE("No Prog, Ejec=  ",AG16),AG16/AD16))</f>
        <v>1</v>
      </c>
      <c r="BS16" s="81" t="str">
        <f t="shared" ref="BS16:BS21" si="51">IF(AND(AF16=0,AH16=0),"No Prog ni Ejec",IF(AF16=0,CONCATENATE("No Prog, Ejec=  ",AH16),AH16/AF16))</f>
        <v>No Prog ni Ejec</v>
      </c>
      <c r="BT16" s="81">
        <f t="shared" ref="BT16:BT21" si="52">IF(AND(AN16=0,AQ16=0),"No Prog ni Ejec",IF(AN16=0,CONCATENATE("No Prog, Ejec=  ",AQ16),AQ16/AN16))</f>
        <v>1</v>
      </c>
      <c r="BU16" s="81" t="str">
        <f t="shared" ref="BU16:BU21" si="53">IF(AND(AP16=0,AR16=0),"No Prog ni Ejec",IF(AP16=0,CONCATENATE("No Prog, Ejec=  ",AR16),AR16/AP16))</f>
        <v>No Prog ni Ejec</v>
      </c>
      <c r="BV16" s="81">
        <f t="shared" ref="BV16:BV21" si="54">IF(AND(AX16=0,BA16=0),"No Prog ni Ejec",IF(AX16=0,CONCATENATE("No Prog, Ejec=  ",BA16),BA16/AX16))</f>
        <v>1</v>
      </c>
      <c r="BW16" s="81" t="str">
        <f t="shared" ref="BW16:BW21" si="55">IF(AND(AZ16=0,BB16=0),"No Prog ni Ejec",IF(AZ16=0,CONCATENATE("No Prog, Ejec=  ",BB16),BB16/AZ16))</f>
        <v>No Prog ni Ejec</v>
      </c>
      <c r="BX16" s="81">
        <f t="shared" ref="BX16:BX21" si="56">IF(AND(BH16=0,BK16=0),"No Prog ni Ejec",IF(BH16=0,CONCATENATE("No Prog, Ejec=  ",BK16),BK16/BH16))</f>
        <v>1</v>
      </c>
      <c r="BY16" s="714" t="str">
        <f t="shared" ref="BY16:BY21" si="57">IF(AND(BJ16=0,BL16=0),"No Prog ni Ejec",IF(BJ16=0,CONCATENATE("No Prog, Ejec=  ",BL16),BL16/BJ16))</f>
        <v>No Prog ni Ejec</v>
      </c>
      <c r="BZ16" s="127">
        <f t="shared" si="28"/>
        <v>0</v>
      </c>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c r="EA16" s="69"/>
      <c r="EB16" s="69"/>
      <c r="EC16" s="69"/>
      <c r="ED16" s="69"/>
      <c r="EE16" s="69"/>
      <c r="EF16" s="69"/>
      <c r="EG16" s="69"/>
      <c r="EH16" s="69"/>
      <c r="EI16" s="69"/>
      <c r="EJ16" s="69"/>
      <c r="EK16" s="69"/>
      <c r="EL16" s="69"/>
      <c r="EM16" s="69"/>
      <c r="EN16" s="69"/>
      <c r="EO16" s="69"/>
      <c r="EP16" s="69"/>
      <c r="EQ16" s="69"/>
      <c r="ER16" s="69"/>
      <c r="ES16" s="69"/>
      <c r="ET16" s="69"/>
      <c r="EU16" s="69"/>
      <c r="EV16" s="69"/>
      <c r="EW16" s="69"/>
      <c r="EX16" s="69"/>
      <c r="EY16" s="69"/>
      <c r="EZ16" s="69"/>
      <c r="FA16" s="69"/>
      <c r="FB16" s="69"/>
      <c r="FC16" s="69"/>
      <c r="FD16" s="69"/>
      <c r="FE16" s="69"/>
      <c r="FF16" s="69"/>
      <c r="FG16" s="69"/>
      <c r="FH16" s="69"/>
      <c r="FI16" s="69"/>
      <c r="FJ16" s="69"/>
      <c r="FK16" s="69"/>
      <c r="FL16" s="69"/>
      <c r="FM16" s="69"/>
      <c r="FN16" s="69"/>
      <c r="FO16" s="69"/>
      <c r="FP16" s="69"/>
      <c r="FQ16" s="69"/>
      <c r="FR16" s="69"/>
      <c r="FS16" s="69"/>
      <c r="FT16" s="69"/>
      <c r="FU16" s="69"/>
      <c r="FV16" s="69"/>
      <c r="FW16" s="69"/>
      <c r="FX16" s="69"/>
      <c r="FY16" s="69"/>
      <c r="FZ16" s="69"/>
      <c r="GA16" s="69"/>
      <c r="GB16" s="69"/>
      <c r="GC16" s="69"/>
      <c r="GD16" s="69"/>
      <c r="GE16" s="69"/>
      <c r="GF16" s="69"/>
      <c r="GG16" s="69"/>
      <c r="GH16" s="69"/>
      <c r="GI16" s="69"/>
      <c r="GJ16" s="69"/>
      <c r="GK16" s="69"/>
      <c r="GL16" s="69"/>
      <c r="GM16" s="69"/>
      <c r="GN16" s="69"/>
      <c r="GO16" s="69"/>
      <c r="GP16" s="69"/>
      <c r="GQ16" s="69"/>
      <c r="GR16" s="69"/>
      <c r="GS16" s="69"/>
      <c r="GT16" s="69"/>
      <c r="GU16" s="69"/>
      <c r="GV16" s="69"/>
      <c r="GW16" s="69"/>
      <c r="GX16" s="69"/>
      <c r="GY16" s="69"/>
      <c r="GZ16" s="69"/>
      <c r="HA16" s="69"/>
      <c r="HB16" s="69"/>
      <c r="HC16" s="69"/>
      <c r="HD16" s="69"/>
      <c r="HE16" s="69"/>
      <c r="HF16" s="69"/>
      <c r="HG16" s="69"/>
      <c r="HH16" s="69"/>
      <c r="HI16" s="69"/>
      <c r="HJ16" s="69"/>
      <c r="HK16" s="69"/>
      <c r="HL16" s="69"/>
      <c r="HM16" s="69"/>
      <c r="HN16" s="69"/>
      <c r="HO16" s="69"/>
      <c r="HP16" s="69"/>
      <c r="HQ16" s="69"/>
      <c r="HR16" s="69"/>
      <c r="HS16" s="69"/>
      <c r="HT16" s="69"/>
      <c r="HU16" s="69"/>
    </row>
    <row r="17" spans="1:229" s="82" customFormat="1" ht="267.75" x14ac:dyDescent="0.2">
      <c r="A17" s="813">
        <v>11300</v>
      </c>
      <c r="B17" s="806" t="s">
        <v>2</v>
      </c>
      <c r="C17" s="806" t="s">
        <v>330</v>
      </c>
      <c r="D17" s="822" t="s">
        <v>1017</v>
      </c>
      <c r="E17" s="822" t="s">
        <v>1017</v>
      </c>
      <c r="F17" s="814" t="s">
        <v>62</v>
      </c>
      <c r="G17" s="806" t="s">
        <v>59</v>
      </c>
      <c r="H17" s="806" t="s">
        <v>204</v>
      </c>
      <c r="I17" s="806" t="s">
        <v>204</v>
      </c>
      <c r="J17" s="814" t="s">
        <v>904</v>
      </c>
      <c r="K17" s="806" t="s">
        <v>89</v>
      </c>
      <c r="L17" s="817" t="s">
        <v>51</v>
      </c>
      <c r="M17" s="811">
        <v>1</v>
      </c>
      <c r="N17" s="814" t="s">
        <v>1304</v>
      </c>
      <c r="O17" s="806" t="s">
        <v>90</v>
      </c>
      <c r="P17" s="825">
        <v>215224404</v>
      </c>
      <c r="Q17" s="811">
        <v>1</v>
      </c>
      <c r="R17" s="806" t="s">
        <v>17</v>
      </c>
      <c r="S17" s="806" t="s">
        <v>26</v>
      </c>
      <c r="T17" s="806" t="s">
        <v>629</v>
      </c>
      <c r="U17" s="806" t="s">
        <v>632</v>
      </c>
      <c r="V17" s="806" t="s">
        <v>73</v>
      </c>
      <c r="W17" s="806" t="s">
        <v>1270</v>
      </c>
      <c r="X17" s="806" t="s">
        <v>156</v>
      </c>
      <c r="Y17" s="806" t="s">
        <v>204</v>
      </c>
      <c r="Z17" s="811">
        <v>1</v>
      </c>
      <c r="AA17" s="806" t="str">
        <f t="shared" si="29"/>
        <v>Seguimiento e identificación del Recaudo</v>
      </c>
      <c r="AB17" s="812">
        <f t="shared" si="29"/>
        <v>215224404</v>
      </c>
      <c r="AC17" s="836" t="s">
        <v>46</v>
      </c>
      <c r="AD17" s="805">
        <v>0.25</v>
      </c>
      <c r="AE17" s="806" t="str">
        <f t="shared" si="30"/>
        <v>Seguimiento e identificación del Recaudo</v>
      </c>
      <c r="AF17" s="810">
        <f>AB17/4</f>
        <v>53806101</v>
      </c>
      <c r="AG17" s="468">
        <f>(110346/110415)*AD17</f>
        <v>0.24984377122673551</v>
      </c>
      <c r="AH17" s="840">
        <v>44240572</v>
      </c>
      <c r="AI17" s="807">
        <f t="shared" si="31"/>
        <v>0.99937508490694205</v>
      </c>
      <c r="AJ17" s="807">
        <f t="shared" si="32"/>
        <v>0.82222222346123908</v>
      </c>
      <c r="AK17" s="807">
        <f t="shared" si="33"/>
        <v>0.24984377122673551</v>
      </c>
      <c r="AL17" s="807">
        <f t="shared" si="34"/>
        <v>0.20555555586530977</v>
      </c>
      <c r="AM17" s="469" t="s">
        <v>1327</v>
      </c>
      <c r="AN17" s="805">
        <v>0.25</v>
      </c>
      <c r="AO17" s="806" t="str">
        <f t="shared" si="35"/>
        <v>Seguimiento e identificación del Recaudo</v>
      </c>
      <c r="AP17" s="810">
        <f>AB17/4</f>
        <v>53806101</v>
      </c>
      <c r="AQ17" s="827">
        <f>(117702/117726)*AN17</f>
        <v>0.24994903419805312</v>
      </c>
      <c r="AR17" s="810">
        <v>53806101</v>
      </c>
      <c r="AS17" s="807">
        <f t="shared" si="36"/>
        <v>0.99979613679221246</v>
      </c>
      <c r="AT17" s="807">
        <f t="shared" si="37"/>
        <v>1</v>
      </c>
      <c r="AU17" s="807">
        <f t="shared" si="38"/>
        <v>0.49979280542478866</v>
      </c>
      <c r="AV17" s="807">
        <f t="shared" si="39"/>
        <v>0.45555555586530977</v>
      </c>
      <c r="AW17" s="808" t="s">
        <v>1663</v>
      </c>
      <c r="AX17" s="805">
        <v>0.25</v>
      </c>
      <c r="AY17" s="806" t="str">
        <f t="shared" si="40"/>
        <v>Seguimiento e identificación del Recaudo</v>
      </c>
      <c r="AZ17" s="810">
        <f>AB17/4</f>
        <v>53806101</v>
      </c>
      <c r="BA17" s="932">
        <f>(126375/126402)*AX17</f>
        <v>0.24994659894621921</v>
      </c>
      <c r="BB17" s="929">
        <v>53806101</v>
      </c>
      <c r="BC17" s="792">
        <f t="shared" si="41"/>
        <v>0.99978639578487682</v>
      </c>
      <c r="BD17" s="807">
        <f t="shared" si="42"/>
        <v>1</v>
      </c>
      <c r="BE17" s="807">
        <f t="shared" si="43"/>
        <v>0.74973940437100783</v>
      </c>
      <c r="BF17" s="807">
        <f t="shared" si="44"/>
        <v>0.70555555586530982</v>
      </c>
      <c r="BG17" s="459" t="s">
        <v>1845</v>
      </c>
      <c r="BH17" s="805">
        <v>0.25</v>
      </c>
      <c r="BI17" s="806" t="str">
        <f t="shared" si="45"/>
        <v>Seguimiento e identificación del Recaudo</v>
      </c>
      <c r="BJ17" s="810">
        <f>AB17/4</f>
        <v>53806101</v>
      </c>
      <c r="BK17" s="1188">
        <f>(132005/132021)*BH17</f>
        <v>0.24996970178986677</v>
      </c>
      <c r="BL17" s="1187">
        <v>53806101</v>
      </c>
      <c r="BM17" s="805">
        <f t="shared" si="46"/>
        <v>0.99987880715946709</v>
      </c>
      <c r="BN17" s="805">
        <f t="shared" si="47"/>
        <v>1</v>
      </c>
      <c r="BO17" s="805">
        <f t="shared" si="48"/>
        <v>0.99970910616087461</v>
      </c>
      <c r="BP17" s="805">
        <f t="shared" si="49"/>
        <v>0.95555555586530982</v>
      </c>
      <c r="BQ17" s="1184" t="s">
        <v>2106</v>
      </c>
      <c r="BR17" s="81">
        <f t="shared" si="50"/>
        <v>0.99937508490694205</v>
      </c>
      <c r="BS17" s="81">
        <f t="shared" si="51"/>
        <v>0.82222222346123908</v>
      </c>
      <c r="BT17" s="81">
        <f t="shared" si="52"/>
        <v>0.99979613679221246</v>
      </c>
      <c r="BU17" s="81">
        <f t="shared" si="53"/>
        <v>1</v>
      </c>
      <c r="BV17" s="81">
        <f t="shared" si="54"/>
        <v>0.99978639578487682</v>
      </c>
      <c r="BW17" s="81">
        <f t="shared" si="55"/>
        <v>1</v>
      </c>
      <c r="BX17" s="1189">
        <f t="shared" si="56"/>
        <v>0.99987880715946709</v>
      </c>
      <c r="BY17" s="714">
        <f t="shared" si="57"/>
        <v>1</v>
      </c>
      <c r="BZ17" s="127">
        <f t="shared" si="28"/>
        <v>0</v>
      </c>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row>
    <row r="18" spans="1:229" s="82" customFormat="1" ht="255" x14ac:dyDescent="0.2">
      <c r="A18" s="813">
        <v>11300</v>
      </c>
      <c r="B18" s="806" t="s">
        <v>2</v>
      </c>
      <c r="C18" s="806" t="s">
        <v>330</v>
      </c>
      <c r="D18" s="822" t="s">
        <v>1017</v>
      </c>
      <c r="E18" s="822" t="s">
        <v>1017</v>
      </c>
      <c r="F18" s="814" t="s">
        <v>62</v>
      </c>
      <c r="G18" s="806" t="s">
        <v>59</v>
      </c>
      <c r="H18" s="806" t="s">
        <v>204</v>
      </c>
      <c r="I18" s="806" t="s">
        <v>204</v>
      </c>
      <c r="J18" s="814" t="s">
        <v>905</v>
      </c>
      <c r="K18" s="806" t="s">
        <v>92</v>
      </c>
      <c r="L18" s="817" t="s">
        <v>51</v>
      </c>
      <c r="M18" s="811">
        <v>1</v>
      </c>
      <c r="N18" s="814" t="s">
        <v>1305</v>
      </c>
      <c r="O18" s="806" t="s">
        <v>458</v>
      </c>
      <c r="P18" s="825">
        <v>313146156</v>
      </c>
      <c r="Q18" s="811">
        <v>1</v>
      </c>
      <c r="R18" s="806" t="s">
        <v>17</v>
      </c>
      <c r="S18" s="806" t="s">
        <v>26</v>
      </c>
      <c r="T18" s="806" t="s">
        <v>629</v>
      </c>
      <c r="U18" s="806" t="s">
        <v>632</v>
      </c>
      <c r="V18" s="806" t="s">
        <v>74</v>
      </c>
      <c r="W18" s="806" t="s">
        <v>1271</v>
      </c>
      <c r="X18" s="806" t="s">
        <v>453</v>
      </c>
      <c r="Y18" s="806" t="s">
        <v>204</v>
      </c>
      <c r="Z18" s="811">
        <v>1</v>
      </c>
      <c r="AA18" s="806" t="str">
        <f t="shared" si="29"/>
        <v>Tramitar Ordenes de Giro</v>
      </c>
      <c r="AB18" s="812">
        <f t="shared" si="29"/>
        <v>313146156</v>
      </c>
      <c r="AC18" s="836" t="s">
        <v>46</v>
      </c>
      <c r="AD18" s="805">
        <v>0.25</v>
      </c>
      <c r="AE18" s="806" t="str">
        <f t="shared" si="30"/>
        <v>Tramitar Ordenes de Giro</v>
      </c>
      <c r="AF18" s="810">
        <f>AB18/4</f>
        <v>78286539</v>
      </c>
      <c r="AG18" s="468">
        <f>(57892/57892)*AD18</f>
        <v>0.25</v>
      </c>
      <c r="AH18" s="840">
        <v>61187081</v>
      </c>
      <c r="AI18" s="807">
        <f t="shared" si="31"/>
        <v>1</v>
      </c>
      <c r="AJ18" s="807">
        <f t="shared" si="32"/>
        <v>0.78157856742140563</v>
      </c>
      <c r="AK18" s="807">
        <f t="shared" si="33"/>
        <v>0.25</v>
      </c>
      <c r="AL18" s="807">
        <f t="shared" si="34"/>
        <v>0.19539464185535141</v>
      </c>
      <c r="AM18" s="469" t="s">
        <v>1592</v>
      </c>
      <c r="AN18" s="805">
        <v>0.25</v>
      </c>
      <c r="AO18" s="806" t="str">
        <f t="shared" si="35"/>
        <v>Tramitar Ordenes de Giro</v>
      </c>
      <c r="AP18" s="810">
        <f>AB18/4</f>
        <v>78286539</v>
      </c>
      <c r="AQ18" s="677">
        <f>(62431/62431)*AN18</f>
        <v>0.25</v>
      </c>
      <c r="AR18" s="810">
        <v>78286539</v>
      </c>
      <c r="AS18" s="807">
        <f t="shared" si="36"/>
        <v>1</v>
      </c>
      <c r="AT18" s="807">
        <f t="shared" si="37"/>
        <v>1</v>
      </c>
      <c r="AU18" s="807">
        <f t="shared" si="38"/>
        <v>0.5</v>
      </c>
      <c r="AV18" s="807">
        <f t="shared" si="39"/>
        <v>0.44539464185535138</v>
      </c>
      <c r="AW18" s="808" t="s">
        <v>1728</v>
      </c>
      <c r="AX18" s="805">
        <v>0.25</v>
      </c>
      <c r="AY18" s="806" t="str">
        <f t="shared" si="40"/>
        <v>Tramitar Ordenes de Giro</v>
      </c>
      <c r="AZ18" s="810">
        <f>AB18/4</f>
        <v>78286539</v>
      </c>
      <c r="BA18" s="932">
        <f>(60847/60847)*AX18</f>
        <v>0.25</v>
      </c>
      <c r="BB18" s="929">
        <v>78286539</v>
      </c>
      <c r="BC18" s="807">
        <f t="shared" si="41"/>
        <v>1</v>
      </c>
      <c r="BD18" s="807">
        <f t="shared" si="42"/>
        <v>1</v>
      </c>
      <c r="BE18" s="807">
        <f t="shared" si="43"/>
        <v>0.75</v>
      </c>
      <c r="BF18" s="807">
        <f t="shared" si="44"/>
        <v>0.69539464185535138</v>
      </c>
      <c r="BG18" s="459" t="s">
        <v>1846</v>
      </c>
      <c r="BH18" s="805">
        <v>0.25</v>
      </c>
      <c r="BI18" s="806" t="str">
        <f t="shared" si="45"/>
        <v>Tramitar Ordenes de Giro</v>
      </c>
      <c r="BJ18" s="810">
        <f>AB18/4</f>
        <v>78286539</v>
      </c>
      <c r="BK18" s="1183">
        <f>(62431/62431)*AN18</f>
        <v>0.25</v>
      </c>
      <c r="BL18" s="1187">
        <v>78286539</v>
      </c>
      <c r="BM18" s="805">
        <f t="shared" si="46"/>
        <v>1</v>
      </c>
      <c r="BN18" s="805">
        <f t="shared" si="47"/>
        <v>1</v>
      </c>
      <c r="BO18" s="805">
        <f t="shared" si="48"/>
        <v>1</v>
      </c>
      <c r="BP18" s="805">
        <f t="shared" si="49"/>
        <v>0.94539464185535138</v>
      </c>
      <c r="BQ18" s="56" t="s">
        <v>2107</v>
      </c>
      <c r="BR18" s="81">
        <f t="shared" si="50"/>
        <v>1</v>
      </c>
      <c r="BS18" s="81">
        <f t="shared" si="51"/>
        <v>0.78157856742140563</v>
      </c>
      <c r="BT18" s="81">
        <f t="shared" si="52"/>
        <v>1</v>
      </c>
      <c r="BU18" s="81">
        <f t="shared" si="53"/>
        <v>1</v>
      </c>
      <c r="BV18" s="81">
        <f t="shared" si="54"/>
        <v>1</v>
      </c>
      <c r="BW18" s="81">
        <f t="shared" si="55"/>
        <v>1</v>
      </c>
      <c r="BX18" s="81">
        <f t="shared" si="56"/>
        <v>1</v>
      </c>
      <c r="BY18" s="714">
        <f t="shared" si="57"/>
        <v>1</v>
      </c>
      <c r="BZ18" s="127">
        <f t="shared" si="28"/>
        <v>0</v>
      </c>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69"/>
      <c r="GQ18" s="69"/>
      <c r="GR18" s="69"/>
      <c r="GS18" s="69"/>
      <c r="GT18" s="69"/>
      <c r="GU18" s="69"/>
      <c r="GV18" s="69"/>
      <c r="GW18" s="69"/>
      <c r="GX18" s="69"/>
      <c r="GY18" s="69"/>
      <c r="GZ18" s="69"/>
      <c r="HA18" s="69"/>
      <c r="HB18" s="69"/>
      <c r="HC18" s="69"/>
      <c r="HD18" s="69"/>
      <c r="HE18" s="69"/>
      <c r="HF18" s="69"/>
      <c r="HG18" s="69"/>
      <c r="HH18" s="69"/>
      <c r="HI18" s="69"/>
      <c r="HJ18" s="69"/>
      <c r="HK18" s="69"/>
      <c r="HL18" s="69"/>
      <c r="HM18" s="69"/>
      <c r="HN18" s="69"/>
      <c r="HO18" s="69"/>
      <c r="HP18" s="69"/>
      <c r="HQ18" s="69"/>
      <c r="HR18" s="69"/>
      <c r="HS18" s="69"/>
      <c r="HT18" s="69"/>
      <c r="HU18" s="69"/>
    </row>
    <row r="19" spans="1:229" s="82" customFormat="1" ht="204" x14ac:dyDescent="0.2">
      <c r="A19" s="813">
        <v>11300</v>
      </c>
      <c r="B19" s="806" t="s">
        <v>2</v>
      </c>
      <c r="C19" s="806" t="s">
        <v>330</v>
      </c>
      <c r="D19" s="822" t="s">
        <v>1017</v>
      </c>
      <c r="E19" s="822" t="s">
        <v>1017</v>
      </c>
      <c r="F19" s="814" t="s">
        <v>62</v>
      </c>
      <c r="G19" s="806" t="s">
        <v>59</v>
      </c>
      <c r="H19" s="806" t="s">
        <v>204</v>
      </c>
      <c r="I19" s="806" t="s">
        <v>204</v>
      </c>
      <c r="J19" s="814" t="s">
        <v>906</v>
      </c>
      <c r="K19" s="806" t="s">
        <v>456</v>
      </c>
      <c r="L19" s="817" t="s">
        <v>51</v>
      </c>
      <c r="M19" s="811">
        <v>1</v>
      </c>
      <c r="N19" s="814" t="s">
        <v>1306</v>
      </c>
      <c r="O19" s="806" t="s">
        <v>457</v>
      </c>
      <c r="P19" s="825">
        <v>48960000</v>
      </c>
      <c r="Q19" s="811">
        <v>1</v>
      </c>
      <c r="R19" s="806" t="s">
        <v>17</v>
      </c>
      <c r="S19" s="806" t="s">
        <v>26</v>
      </c>
      <c r="T19" s="806" t="s">
        <v>629</v>
      </c>
      <c r="U19" s="806" t="s">
        <v>632</v>
      </c>
      <c r="V19" s="806" t="s">
        <v>74</v>
      </c>
      <c r="W19" s="806" t="s">
        <v>204</v>
      </c>
      <c r="X19" s="806" t="s">
        <v>158</v>
      </c>
      <c r="Y19" s="806" t="s">
        <v>204</v>
      </c>
      <c r="Z19" s="811">
        <v>1</v>
      </c>
      <c r="AA19" s="806" t="str">
        <f t="shared" si="29"/>
        <v>Realizar informes de portafolio</v>
      </c>
      <c r="AB19" s="812">
        <f t="shared" si="29"/>
        <v>48960000</v>
      </c>
      <c r="AC19" s="836" t="s">
        <v>46</v>
      </c>
      <c r="AD19" s="805">
        <v>0.25</v>
      </c>
      <c r="AE19" s="806" t="str">
        <f t="shared" si="30"/>
        <v>Realizar informes de portafolio</v>
      </c>
      <c r="AF19" s="810">
        <f>AB19/4</f>
        <v>12240000</v>
      </c>
      <c r="AG19" s="468">
        <f>(61/61)*AD19</f>
        <v>0.25</v>
      </c>
      <c r="AH19" s="840">
        <v>10064000</v>
      </c>
      <c r="AI19" s="807">
        <f t="shared" si="31"/>
        <v>1</v>
      </c>
      <c r="AJ19" s="807">
        <f t="shared" si="32"/>
        <v>0.82222222222222219</v>
      </c>
      <c r="AK19" s="807">
        <f t="shared" si="33"/>
        <v>0.25</v>
      </c>
      <c r="AL19" s="807">
        <f t="shared" si="34"/>
        <v>0.20555555555555555</v>
      </c>
      <c r="AM19" s="469" t="s">
        <v>1328</v>
      </c>
      <c r="AN19" s="805">
        <v>0.25</v>
      </c>
      <c r="AO19" s="806" t="str">
        <f t="shared" si="35"/>
        <v>Realizar informes de portafolio</v>
      </c>
      <c r="AP19" s="810">
        <f>AB19/4</f>
        <v>12240000</v>
      </c>
      <c r="AQ19" s="827">
        <f>(60/60)*AN19</f>
        <v>0.25</v>
      </c>
      <c r="AR19" s="810">
        <v>12240000</v>
      </c>
      <c r="AS19" s="807">
        <f t="shared" si="36"/>
        <v>1</v>
      </c>
      <c r="AT19" s="807">
        <f t="shared" si="37"/>
        <v>1</v>
      </c>
      <c r="AU19" s="807">
        <f t="shared" si="38"/>
        <v>0.5</v>
      </c>
      <c r="AV19" s="807">
        <f t="shared" si="39"/>
        <v>0.45555555555555555</v>
      </c>
      <c r="AW19" s="808" t="s">
        <v>1664</v>
      </c>
      <c r="AX19" s="805">
        <v>0.25</v>
      </c>
      <c r="AY19" s="806" t="str">
        <f t="shared" si="40"/>
        <v>Realizar informes de portafolio</v>
      </c>
      <c r="AZ19" s="810">
        <f>AB19/4</f>
        <v>12240000</v>
      </c>
      <c r="BA19" s="932">
        <f>(63/63)*AX19</f>
        <v>0.25</v>
      </c>
      <c r="BB19" s="929">
        <v>12240000</v>
      </c>
      <c r="BC19" s="807">
        <f t="shared" si="41"/>
        <v>1</v>
      </c>
      <c r="BD19" s="807">
        <f t="shared" si="42"/>
        <v>1</v>
      </c>
      <c r="BE19" s="807">
        <f t="shared" si="43"/>
        <v>0.75</v>
      </c>
      <c r="BF19" s="807">
        <f t="shared" si="44"/>
        <v>0.7055555555555556</v>
      </c>
      <c r="BG19" s="459" t="s">
        <v>1847</v>
      </c>
      <c r="BH19" s="805">
        <v>0.25</v>
      </c>
      <c r="BI19" s="806" t="str">
        <f t="shared" si="45"/>
        <v>Realizar informes de portafolio</v>
      </c>
      <c r="BJ19" s="810">
        <f>AB19/4</f>
        <v>12240000</v>
      </c>
      <c r="BK19" s="1183">
        <f>(60/60)*AN19</f>
        <v>0.25</v>
      </c>
      <c r="BL19" s="1187">
        <v>12240000</v>
      </c>
      <c r="BM19" s="805">
        <f t="shared" si="46"/>
        <v>1</v>
      </c>
      <c r="BN19" s="805">
        <f t="shared" si="47"/>
        <v>1</v>
      </c>
      <c r="BO19" s="805">
        <f t="shared" si="48"/>
        <v>1</v>
      </c>
      <c r="BP19" s="805">
        <f t="shared" si="49"/>
        <v>0.9555555555555556</v>
      </c>
      <c r="BQ19" s="1184" t="s">
        <v>2108</v>
      </c>
      <c r="BR19" s="81">
        <f t="shared" si="50"/>
        <v>1</v>
      </c>
      <c r="BS19" s="81">
        <f t="shared" si="51"/>
        <v>0.82222222222222219</v>
      </c>
      <c r="BT19" s="81">
        <f t="shared" si="52"/>
        <v>1</v>
      </c>
      <c r="BU19" s="81">
        <f t="shared" si="53"/>
        <v>1</v>
      </c>
      <c r="BV19" s="81">
        <f t="shared" si="54"/>
        <v>1</v>
      </c>
      <c r="BW19" s="81">
        <f t="shared" si="55"/>
        <v>1</v>
      </c>
      <c r="BX19" s="81">
        <f t="shared" si="56"/>
        <v>1</v>
      </c>
      <c r="BY19" s="714">
        <f t="shared" si="57"/>
        <v>1</v>
      </c>
      <c r="BZ19" s="127">
        <f t="shared" si="28"/>
        <v>0</v>
      </c>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row>
    <row r="20" spans="1:229" s="80" customFormat="1" ht="242.25" x14ac:dyDescent="0.2">
      <c r="A20" s="813">
        <v>11300</v>
      </c>
      <c r="B20" s="806" t="s">
        <v>2</v>
      </c>
      <c r="C20" s="806" t="s">
        <v>330</v>
      </c>
      <c r="D20" s="822" t="s">
        <v>1017</v>
      </c>
      <c r="E20" s="822" t="s">
        <v>1017</v>
      </c>
      <c r="F20" s="814" t="s">
        <v>62</v>
      </c>
      <c r="G20" s="806" t="s">
        <v>59</v>
      </c>
      <c r="H20" s="806" t="s">
        <v>204</v>
      </c>
      <c r="I20" s="806" t="s">
        <v>204</v>
      </c>
      <c r="J20" s="814" t="s">
        <v>907</v>
      </c>
      <c r="K20" s="806" t="s">
        <v>93</v>
      </c>
      <c r="L20" s="817" t="s">
        <v>52</v>
      </c>
      <c r="M20" s="814">
        <v>4</v>
      </c>
      <c r="N20" s="814" t="s">
        <v>1307</v>
      </c>
      <c r="O20" s="806" t="s">
        <v>455</v>
      </c>
      <c r="P20" s="810">
        <v>223720404</v>
      </c>
      <c r="Q20" s="811">
        <v>1</v>
      </c>
      <c r="R20" s="806" t="s">
        <v>18</v>
      </c>
      <c r="S20" s="806" t="s">
        <v>24</v>
      </c>
      <c r="T20" s="806" t="s">
        <v>204</v>
      </c>
      <c r="U20" s="806" t="s">
        <v>633</v>
      </c>
      <c r="V20" s="806" t="s">
        <v>1035</v>
      </c>
      <c r="W20" s="806" t="s">
        <v>1272</v>
      </c>
      <c r="X20" s="806" t="s">
        <v>454</v>
      </c>
      <c r="Y20" s="806" t="s">
        <v>40</v>
      </c>
      <c r="Z20" s="814">
        <v>4</v>
      </c>
      <c r="AA20" s="806" t="str">
        <f t="shared" si="29"/>
        <v>Reportar Estados Financieros</v>
      </c>
      <c r="AB20" s="812">
        <f t="shared" si="29"/>
        <v>223720404</v>
      </c>
      <c r="AC20" s="836" t="s">
        <v>46</v>
      </c>
      <c r="AD20" s="67">
        <v>1</v>
      </c>
      <c r="AE20" s="806" t="str">
        <f t="shared" si="30"/>
        <v>Reportar Estados Financieros</v>
      </c>
      <c r="AF20" s="810">
        <f>AB20/4</f>
        <v>55930101</v>
      </c>
      <c r="AG20" s="828">
        <v>1</v>
      </c>
      <c r="AH20" s="840">
        <v>43423744</v>
      </c>
      <c r="AI20" s="807">
        <f t="shared" si="31"/>
        <v>1</v>
      </c>
      <c r="AJ20" s="807">
        <f t="shared" si="32"/>
        <v>0.77639309108345789</v>
      </c>
      <c r="AK20" s="807">
        <f t="shared" si="33"/>
        <v>0.25</v>
      </c>
      <c r="AL20" s="807">
        <f t="shared" si="34"/>
        <v>0.19409827277086447</v>
      </c>
      <c r="AM20" s="469" t="s">
        <v>1588</v>
      </c>
      <c r="AN20" s="67">
        <v>1</v>
      </c>
      <c r="AO20" s="806" t="str">
        <f t="shared" si="35"/>
        <v>Reportar Estados Financieros</v>
      </c>
      <c r="AP20" s="810">
        <f>AB20/4</f>
        <v>55930101</v>
      </c>
      <c r="AQ20" s="817">
        <v>1</v>
      </c>
      <c r="AR20" s="810">
        <v>55930101</v>
      </c>
      <c r="AS20" s="807">
        <f t="shared" si="36"/>
        <v>1</v>
      </c>
      <c r="AT20" s="807">
        <f t="shared" si="37"/>
        <v>1</v>
      </c>
      <c r="AU20" s="807">
        <f t="shared" si="38"/>
        <v>0.5</v>
      </c>
      <c r="AV20" s="807">
        <f t="shared" si="39"/>
        <v>0.4440982727708645</v>
      </c>
      <c r="AW20" s="808" t="s">
        <v>1729</v>
      </c>
      <c r="AX20" s="67">
        <v>1</v>
      </c>
      <c r="AY20" s="806" t="str">
        <f t="shared" si="40"/>
        <v>Reportar Estados Financieros</v>
      </c>
      <c r="AZ20" s="810">
        <f>AB20/4</f>
        <v>55930101</v>
      </c>
      <c r="BA20" s="931">
        <v>1</v>
      </c>
      <c r="BB20" s="929">
        <v>55930101</v>
      </c>
      <c r="BC20" s="807">
        <f t="shared" si="41"/>
        <v>1</v>
      </c>
      <c r="BD20" s="807">
        <f t="shared" si="42"/>
        <v>1</v>
      </c>
      <c r="BE20" s="807">
        <f t="shared" si="43"/>
        <v>0.75</v>
      </c>
      <c r="BF20" s="807">
        <f t="shared" si="44"/>
        <v>0.69409827277086444</v>
      </c>
      <c r="BG20" s="459" t="s">
        <v>1848</v>
      </c>
      <c r="BH20" s="67">
        <v>1</v>
      </c>
      <c r="BI20" s="806" t="str">
        <f t="shared" si="45"/>
        <v>Reportar Estados Financieros</v>
      </c>
      <c r="BJ20" s="810">
        <f>AB20/4</f>
        <v>55930101</v>
      </c>
      <c r="BK20" s="1185">
        <v>1</v>
      </c>
      <c r="BL20" s="1187">
        <v>55930101</v>
      </c>
      <c r="BM20" s="805">
        <f t="shared" si="46"/>
        <v>1</v>
      </c>
      <c r="BN20" s="805">
        <f t="shared" si="47"/>
        <v>1</v>
      </c>
      <c r="BO20" s="805">
        <f t="shared" si="48"/>
        <v>1</v>
      </c>
      <c r="BP20" s="805">
        <f t="shared" si="49"/>
        <v>0.94409827277086444</v>
      </c>
      <c r="BQ20" s="56" t="s">
        <v>2109</v>
      </c>
      <c r="BR20" s="79">
        <f t="shared" si="50"/>
        <v>1</v>
      </c>
      <c r="BS20" s="79">
        <f t="shared" si="51"/>
        <v>0.77639309108345789</v>
      </c>
      <c r="BT20" s="79">
        <f t="shared" si="52"/>
        <v>1</v>
      </c>
      <c r="BU20" s="79">
        <f t="shared" si="53"/>
        <v>1</v>
      </c>
      <c r="BV20" s="79">
        <f t="shared" si="54"/>
        <v>1</v>
      </c>
      <c r="BW20" s="79">
        <f t="shared" si="55"/>
        <v>1</v>
      </c>
      <c r="BX20" s="79">
        <f t="shared" si="56"/>
        <v>1</v>
      </c>
      <c r="BY20" s="715">
        <f t="shared" si="57"/>
        <v>1</v>
      </c>
      <c r="BZ20" s="127">
        <f t="shared" si="28"/>
        <v>0</v>
      </c>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row>
    <row r="21" spans="1:229" ht="352.5" hidden="1" customHeight="1" x14ac:dyDescent="0.2">
      <c r="A21" s="889">
        <v>11900</v>
      </c>
      <c r="B21" s="890" t="s">
        <v>125</v>
      </c>
      <c r="C21" s="890" t="s">
        <v>330</v>
      </c>
      <c r="D21" s="891" t="s">
        <v>1017</v>
      </c>
      <c r="E21" s="891" t="s">
        <v>1017</v>
      </c>
      <c r="F21" s="892" t="s">
        <v>126</v>
      </c>
      <c r="G21" s="890" t="s">
        <v>60</v>
      </c>
      <c r="H21" s="890" t="s">
        <v>204</v>
      </c>
      <c r="I21" s="890" t="s">
        <v>204</v>
      </c>
      <c r="J21" s="892" t="s">
        <v>149</v>
      </c>
      <c r="K21" s="890" t="s">
        <v>1508</v>
      </c>
      <c r="L21" s="893" t="s">
        <v>491</v>
      </c>
      <c r="M21" s="894">
        <v>103000</v>
      </c>
      <c r="N21" s="892" t="s">
        <v>128</v>
      </c>
      <c r="O21" s="895" t="s">
        <v>347</v>
      </c>
      <c r="P21" s="896">
        <v>53164884</v>
      </c>
      <c r="Q21" s="897">
        <v>1</v>
      </c>
      <c r="R21" s="890" t="s">
        <v>17</v>
      </c>
      <c r="S21" s="890" t="s">
        <v>26</v>
      </c>
      <c r="T21" s="890" t="s">
        <v>629</v>
      </c>
      <c r="U21" s="890" t="s">
        <v>631</v>
      </c>
      <c r="V21" s="890" t="s">
        <v>1042</v>
      </c>
      <c r="W21" s="890" t="s">
        <v>1266</v>
      </c>
      <c r="X21" s="890" t="s">
        <v>1509</v>
      </c>
      <c r="Y21" s="890" t="s">
        <v>204</v>
      </c>
      <c r="Z21" s="894">
        <v>103000</v>
      </c>
      <c r="AA21" s="890"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898">
        <f>+P21</f>
        <v>53164884</v>
      </c>
      <c r="AC21" s="895" t="s">
        <v>46</v>
      </c>
      <c r="AD21" s="899">
        <v>0</v>
      </c>
      <c r="AE21" s="890"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896">
        <f>AB21/4</f>
        <v>13291221</v>
      </c>
      <c r="AG21" s="900"/>
      <c r="AH21" s="901">
        <v>9746895</v>
      </c>
      <c r="AI21" s="902" t="e">
        <f t="shared" si="31"/>
        <v>#DIV/0!</v>
      </c>
      <c r="AJ21" s="902">
        <f t="shared" si="32"/>
        <v>0.73333330323828039</v>
      </c>
      <c r="AK21" s="902">
        <f t="shared" si="33"/>
        <v>0</v>
      </c>
      <c r="AL21" s="902">
        <f t="shared" si="34"/>
        <v>0.1833333258095701</v>
      </c>
      <c r="AM21" s="903"/>
      <c r="AN21" s="899">
        <v>0</v>
      </c>
      <c r="AO21" s="890"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896">
        <f>AB21/4</f>
        <v>13291221</v>
      </c>
      <c r="AQ21" s="893">
        <v>0</v>
      </c>
      <c r="AR21" s="904">
        <v>13291221</v>
      </c>
      <c r="AS21" s="902" t="e">
        <f t="shared" si="36"/>
        <v>#DIV/0!</v>
      </c>
      <c r="AT21" s="902">
        <f t="shared" si="37"/>
        <v>1</v>
      </c>
      <c r="AU21" s="902">
        <f t="shared" si="38"/>
        <v>0</v>
      </c>
      <c r="AV21" s="902">
        <f t="shared" si="39"/>
        <v>0.43333332580957007</v>
      </c>
      <c r="AW21" s="905" t="s">
        <v>1700</v>
      </c>
      <c r="AX21" s="899">
        <v>0</v>
      </c>
      <c r="AY21" s="890"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896">
        <f>AB21/4</f>
        <v>13291221</v>
      </c>
      <c r="BA21" s="893">
        <v>0</v>
      </c>
      <c r="BB21" s="970">
        <v>13291221</v>
      </c>
      <c r="BC21" s="902" t="e">
        <f t="shared" si="41"/>
        <v>#DIV/0!</v>
      </c>
      <c r="BD21" s="902">
        <f t="shared" si="42"/>
        <v>1</v>
      </c>
      <c r="BE21" s="902">
        <f t="shared" si="43"/>
        <v>0</v>
      </c>
      <c r="BF21" s="902">
        <f t="shared" si="44"/>
        <v>0.68333332580957007</v>
      </c>
      <c r="BG21" s="465" t="s">
        <v>1699</v>
      </c>
      <c r="BH21" s="899">
        <v>103000</v>
      </c>
      <c r="BI21" s="890"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896">
        <f>AB21/4</f>
        <v>13291221</v>
      </c>
      <c r="BK21" s="1110">
        <v>111594</v>
      </c>
      <c r="BL21" s="1111">
        <v>13291221</v>
      </c>
      <c r="BM21" s="906">
        <f t="shared" si="46"/>
        <v>1.0834368932038836</v>
      </c>
      <c r="BN21" s="906">
        <f t="shared" si="47"/>
        <v>1</v>
      </c>
      <c r="BO21" s="906">
        <f t="shared" si="48"/>
        <v>1.0834368932038836</v>
      </c>
      <c r="BP21" s="906">
        <f t="shared" si="49"/>
        <v>0.93333332580957007</v>
      </c>
      <c r="BQ21" s="1112" t="s">
        <v>2026</v>
      </c>
      <c r="BR21" s="907" t="str">
        <f t="shared" si="50"/>
        <v>No Prog ni Ejec</v>
      </c>
      <c r="BS21" s="907">
        <f t="shared" si="51"/>
        <v>0.73333330323828039</v>
      </c>
      <c r="BT21" s="907" t="str">
        <f t="shared" si="52"/>
        <v>No Prog ni Ejec</v>
      </c>
      <c r="BU21" s="907">
        <f t="shared" si="53"/>
        <v>1</v>
      </c>
      <c r="BV21" s="907" t="str">
        <f t="shared" si="54"/>
        <v>No Prog ni Ejec</v>
      </c>
      <c r="BW21" s="907">
        <f t="shared" si="55"/>
        <v>1</v>
      </c>
      <c r="BX21" s="907">
        <f t="shared" si="56"/>
        <v>1.0834368932038836</v>
      </c>
      <c r="BY21" s="908">
        <f t="shared" si="57"/>
        <v>1</v>
      </c>
    </row>
    <row r="22" spans="1:229" s="69" customFormat="1" ht="120" hidden="1" customHeight="1" x14ac:dyDescent="0.2">
      <c r="A22" s="1016">
        <v>11400</v>
      </c>
      <c r="B22" s="1015" t="s">
        <v>12</v>
      </c>
      <c r="C22" s="1015" t="s">
        <v>330</v>
      </c>
      <c r="D22" s="1019" t="s">
        <v>1017</v>
      </c>
      <c r="E22" s="68"/>
      <c r="F22" s="1016" t="s">
        <v>65</v>
      </c>
      <c r="G22" s="1015" t="s">
        <v>345</v>
      </c>
      <c r="H22" s="1015" t="s">
        <v>204</v>
      </c>
      <c r="I22" s="1015" t="s">
        <v>204</v>
      </c>
      <c r="J22" s="1017" t="s">
        <v>114</v>
      </c>
      <c r="K22" s="1015" t="s">
        <v>1778</v>
      </c>
      <c r="L22" s="1018" t="s">
        <v>491</v>
      </c>
      <c r="M22" s="66">
        <v>1</v>
      </c>
      <c r="N22" s="1211" t="s">
        <v>66</v>
      </c>
      <c r="O22" s="1201" t="s">
        <v>1782</v>
      </c>
      <c r="P22" s="1302">
        <v>0</v>
      </c>
      <c r="Q22" s="1206">
        <v>1</v>
      </c>
      <c r="R22" s="1015" t="s">
        <v>17</v>
      </c>
      <c r="S22" s="1015" t="s">
        <v>26</v>
      </c>
      <c r="T22" s="1015" t="s">
        <v>629</v>
      </c>
      <c r="U22" s="1015" t="s">
        <v>631</v>
      </c>
      <c r="V22" s="1201" t="s">
        <v>71</v>
      </c>
      <c r="W22" s="1300" t="s">
        <v>1266</v>
      </c>
      <c r="X22" s="1015" t="s">
        <v>1787</v>
      </c>
      <c r="Y22" s="1015" t="s">
        <v>204</v>
      </c>
      <c r="Z22" s="66">
        <v>1</v>
      </c>
      <c r="AA22" s="1201" t="str">
        <f>+O22</f>
        <v>Apoyar al Ministerio de Salud y Protección Social en la estructuración del saneamiento definitivo de las cuentas de recobro relacionadas con los servicios y tecnologías de salud no financiados con cargo a la UPC del régimen contributivo.</v>
      </c>
      <c r="AB22" s="1301">
        <f>+P22</f>
        <v>0</v>
      </c>
      <c r="AC22" s="1300" t="s">
        <v>48</v>
      </c>
      <c r="AD22" s="1041">
        <v>0</v>
      </c>
      <c r="AE22" s="1201" t="str">
        <f t="shared" ref="AE22:AE25" si="58">+AA22</f>
        <v>Apoyar al Ministerio de Salud y Protección Social en la estructuración del saneamiento definitivo de las cuentas de recobro relacionadas con los servicios y tecnologías de salud no financiados con cargo a la UPC del régimen contributivo.</v>
      </c>
      <c r="AF22" s="1256">
        <f t="shared" ref="AF22:AF24" si="59">AB22/4</f>
        <v>0</v>
      </c>
      <c r="AG22" s="967"/>
      <c r="AH22" s="1286"/>
      <c r="AI22" s="1202" t="e">
        <f t="shared" ref="AI22:AI24" si="60">+(AG22/AD22)</f>
        <v>#DIV/0!</v>
      </c>
      <c r="AJ22" s="1202" t="e">
        <f t="shared" ref="AJ22:AJ24" si="61">+(AH22/AF22)</f>
        <v>#DIV/0!</v>
      </c>
      <c r="AK22" s="1202">
        <f t="shared" ref="AK22:AK24" si="62">+(AG22/Z22)</f>
        <v>0</v>
      </c>
      <c r="AL22" s="1202" t="e">
        <f t="shared" ref="AL22:AL24" si="63">+(AH22/AB22)</f>
        <v>#DIV/0!</v>
      </c>
      <c r="AM22" s="1299"/>
      <c r="AN22" s="1041">
        <v>0</v>
      </c>
      <c r="AO22" s="1201" t="str">
        <f t="shared" ref="AO22:AO25" si="64">+AA22</f>
        <v>Apoyar al Ministerio de Salud y Protección Social en la estructuración del saneamiento definitivo de las cuentas de recobro relacionadas con los servicios y tecnologías de salud no financiados con cargo a la UPC del régimen contributivo.</v>
      </c>
      <c r="AP22" s="1256">
        <f t="shared" ref="AP22:AP25" si="65">AB22/4</f>
        <v>0</v>
      </c>
      <c r="AQ22" s="967"/>
      <c r="AR22" s="1286"/>
      <c r="AS22" s="1202" t="e">
        <f t="shared" ref="AS22:AS25" si="66">+(AQ22/AN22)</f>
        <v>#DIV/0!</v>
      </c>
      <c r="AT22" s="1202" t="e">
        <f t="shared" ref="AT22:AT25" si="67">+(AR22/AP22)</f>
        <v>#DIV/0!</v>
      </c>
      <c r="AU22" s="1202">
        <f t="shared" ref="AU22:AU25" si="68">+(AQ22+AG22)/Z22</f>
        <v>0</v>
      </c>
      <c r="AV22" s="1202" t="e">
        <f t="shared" ref="AV22:AV25" si="69">+(AR22+AH22)/AB22</f>
        <v>#DIV/0!</v>
      </c>
      <c r="AW22" s="1299"/>
      <c r="AX22" s="1041">
        <v>0</v>
      </c>
      <c r="AY22" s="1201" t="str">
        <f t="shared" ref="AY22:AY25" si="70">+AA22</f>
        <v>Apoyar al Ministerio de Salud y Protección Social en la estructuración del saneamiento definitivo de las cuentas de recobro relacionadas con los servicios y tecnologías de salud no financiados con cargo a la UPC del régimen contributivo.</v>
      </c>
      <c r="AZ22" s="1256">
        <f t="shared" ref="AZ22:AZ25" si="71">AB22/4</f>
        <v>0</v>
      </c>
      <c r="BA22" s="967">
        <v>0</v>
      </c>
      <c r="BB22" s="1286">
        <v>0</v>
      </c>
      <c r="BC22" s="1202" t="e">
        <f t="shared" ref="BC22:BC25" si="72">+(BA22/AX22)</f>
        <v>#DIV/0!</v>
      </c>
      <c r="BD22" s="1202" t="e">
        <f t="shared" ref="BD22:BD25" si="73">+(BB22/AZ22)</f>
        <v>#DIV/0!</v>
      </c>
      <c r="BE22" s="1202">
        <f t="shared" ref="BE22:BE25" si="74">+(AQ22+AG22+BA22)/Z22</f>
        <v>0</v>
      </c>
      <c r="BF22" s="1202" t="e">
        <f t="shared" ref="BF22:BF25" si="75">+(AR22+AH22+BB22)/AB22</f>
        <v>#DIV/0!</v>
      </c>
      <c r="BG22" s="1299"/>
      <c r="BH22" s="67">
        <v>1</v>
      </c>
      <c r="BI22" s="1201" t="str">
        <f t="shared" ref="BI22:BI25" si="76">+AA22</f>
        <v>Apoyar al Ministerio de Salud y Protección Social en la estructuración del saneamiento definitivo de las cuentas de recobro relacionadas con los servicios y tecnologías de salud no financiados con cargo a la UPC del régimen contributivo.</v>
      </c>
      <c r="BJ22" s="1256">
        <f t="shared" ref="BJ22:BJ25" si="77">AB22/4</f>
        <v>0</v>
      </c>
      <c r="BK22" s="967">
        <v>1</v>
      </c>
      <c r="BL22" s="1286">
        <v>0</v>
      </c>
      <c r="BM22" s="1202">
        <f t="shared" ref="BM22:BM25" si="78">+(BK22/BH22)</f>
        <v>1</v>
      </c>
      <c r="BN22" s="1202" t="e">
        <f t="shared" ref="BN22:BN25" si="79">+(BL22/BJ22)</f>
        <v>#DIV/0!</v>
      </c>
      <c r="BO22" s="1202">
        <f t="shared" ref="BO22:BO25" si="80">+(AQ22+AG22+BA22+BK22)/Z22</f>
        <v>1</v>
      </c>
      <c r="BP22" s="1202" t="e">
        <f t="shared" ref="BP22:BP25" si="81">+(AR22+AH22+BB22+BL22)/AB22</f>
        <v>#DIV/0!</v>
      </c>
      <c r="BQ22" s="1298" t="s">
        <v>2003</v>
      </c>
      <c r="BR22" s="79" t="str">
        <f t="shared" ref="BR22:BR25" si="82">IF(AND(AD22=0,AG22=0),"No Prog ni Ejec",IF(AD22=0,CONCATENATE("No Prog, Ejec=  ",AG22),AG22/AD22))</f>
        <v>No Prog ni Ejec</v>
      </c>
      <c r="BS22" s="79" t="str">
        <f t="shared" ref="BS22:BS25" si="83">IF(AND(AF22=0,AH22=0),"No Prog ni Ejec",IF(AF22=0,CONCATENATE("No Prog, Ejec=  ",AH22),AH22/AF22))</f>
        <v>No Prog ni Ejec</v>
      </c>
      <c r="BT22" s="79" t="str">
        <f t="shared" ref="BT22:BT25" si="84">IF(AND(AN22=0,AQ22=0),"No Prog ni Ejec",IF(AN22=0,CONCATENATE("No Prog, Ejec=  ",AQ22),AQ22/AN22))</f>
        <v>No Prog ni Ejec</v>
      </c>
      <c r="BU22" s="79" t="str">
        <f t="shared" ref="BU22:BU25" si="85">IF(AND(AP22=0,AR22=0),"No Prog ni Ejec",IF(AP22=0,CONCATENATE("No Prog, Ejec=  ",AR22),AR22/AP22))</f>
        <v>No Prog ni Ejec</v>
      </c>
      <c r="BV22" s="79" t="str">
        <f t="shared" ref="BV22:BV25" si="86">IF(AND(AX22=0,BA22=0),"No Prog ni Ejec",IF(AX22=0,CONCATENATE("No Prog, Ejec=  ",BA22),BA22/AX22))</f>
        <v>No Prog ni Ejec</v>
      </c>
      <c r="BW22" s="79" t="str">
        <f t="shared" ref="BW22:BW25" si="87">IF(AND(AZ22=0,BB22=0),"No Prog ni Ejec",IF(AZ22=0,CONCATENATE("No Prog, Ejec=  ",BB22),BB22/AZ22))</f>
        <v>No Prog ni Ejec</v>
      </c>
      <c r="BX22" s="79">
        <f t="shared" ref="BX22:BX25" si="88">IF(AND(BH22=0,BK22=0),"No Prog ni Ejec",IF(BH22=0,CONCATENATE("No Prog, Ejec=  ",BK22),BK22/BH22))</f>
        <v>1</v>
      </c>
      <c r="BY22" s="79" t="str">
        <f t="shared" ref="BY22:BY25" si="89">IF(AND(BJ22=0,BL22=0),"No Prog ni Ejec",IF(BJ22=0,CONCATENATE("No Prog, Ejec=  ",BL22),BL22/BJ22))</f>
        <v>No Prog ni Ejec</v>
      </c>
    </row>
    <row r="23" spans="1:229" s="69" customFormat="1" ht="137.25" hidden="1" customHeight="1" x14ac:dyDescent="0.2">
      <c r="A23" s="1016">
        <v>11400</v>
      </c>
      <c r="B23" s="1015" t="s">
        <v>12</v>
      </c>
      <c r="C23" s="1015" t="s">
        <v>330</v>
      </c>
      <c r="D23" s="1019" t="s">
        <v>1017</v>
      </c>
      <c r="E23" s="68"/>
      <c r="F23" s="1016" t="s">
        <v>65</v>
      </c>
      <c r="G23" s="1015" t="s">
        <v>345</v>
      </c>
      <c r="H23" s="1015" t="s">
        <v>204</v>
      </c>
      <c r="I23" s="1015" t="s">
        <v>204</v>
      </c>
      <c r="J23" s="1017" t="s">
        <v>970</v>
      </c>
      <c r="K23" s="1015" t="s">
        <v>1779</v>
      </c>
      <c r="L23" s="1018" t="s">
        <v>491</v>
      </c>
      <c r="M23" s="66">
        <v>2</v>
      </c>
      <c r="N23" s="1211"/>
      <c r="O23" s="1201"/>
      <c r="P23" s="1302"/>
      <c r="Q23" s="1206"/>
      <c r="R23" s="1015" t="s">
        <v>17</v>
      </c>
      <c r="S23" s="1015" t="s">
        <v>304</v>
      </c>
      <c r="T23" s="1015" t="s">
        <v>629</v>
      </c>
      <c r="U23" s="1015" t="s">
        <v>631</v>
      </c>
      <c r="V23" s="1201"/>
      <c r="W23" s="1300"/>
      <c r="X23" s="1015" t="s">
        <v>1788</v>
      </c>
      <c r="Y23" s="1015" t="s">
        <v>204</v>
      </c>
      <c r="Z23" s="66">
        <v>2</v>
      </c>
      <c r="AA23" s="1201"/>
      <c r="AB23" s="1301"/>
      <c r="AC23" s="1300"/>
      <c r="AD23" s="1041">
        <v>0</v>
      </c>
      <c r="AE23" s="1201">
        <f t="shared" si="58"/>
        <v>0</v>
      </c>
      <c r="AF23" s="1256"/>
      <c r="AG23" s="967"/>
      <c r="AH23" s="1286"/>
      <c r="AI23" s="1202"/>
      <c r="AJ23" s="1202"/>
      <c r="AK23" s="1202"/>
      <c r="AL23" s="1202"/>
      <c r="AM23" s="1299"/>
      <c r="AN23" s="1041">
        <v>0</v>
      </c>
      <c r="AO23" s="1201">
        <f t="shared" si="64"/>
        <v>0</v>
      </c>
      <c r="AP23" s="1256">
        <f t="shared" si="65"/>
        <v>0</v>
      </c>
      <c r="AQ23" s="967"/>
      <c r="AR23" s="1286"/>
      <c r="AS23" s="1202" t="e">
        <f t="shared" si="66"/>
        <v>#DIV/0!</v>
      </c>
      <c r="AT23" s="1202" t="e">
        <f t="shared" si="67"/>
        <v>#DIV/0!</v>
      </c>
      <c r="AU23" s="1202">
        <f t="shared" si="68"/>
        <v>0</v>
      </c>
      <c r="AV23" s="1202" t="e">
        <f t="shared" si="69"/>
        <v>#DIV/0!</v>
      </c>
      <c r="AW23" s="1299"/>
      <c r="AX23" s="1041">
        <v>0</v>
      </c>
      <c r="AY23" s="1201">
        <f t="shared" si="70"/>
        <v>0</v>
      </c>
      <c r="AZ23" s="1256">
        <f t="shared" si="71"/>
        <v>0</v>
      </c>
      <c r="BA23" s="967">
        <v>0</v>
      </c>
      <c r="BB23" s="1286"/>
      <c r="BC23" s="1202" t="e">
        <f t="shared" si="72"/>
        <v>#DIV/0!</v>
      </c>
      <c r="BD23" s="1202" t="e">
        <f t="shared" si="73"/>
        <v>#DIV/0!</v>
      </c>
      <c r="BE23" s="1202">
        <f t="shared" si="74"/>
        <v>0</v>
      </c>
      <c r="BF23" s="1202" t="e">
        <f t="shared" si="75"/>
        <v>#DIV/0!</v>
      </c>
      <c r="BG23" s="1299"/>
      <c r="BH23" s="67">
        <v>2</v>
      </c>
      <c r="BI23" s="1201">
        <f t="shared" si="76"/>
        <v>0</v>
      </c>
      <c r="BJ23" s="1256">
        <f t="shared" si="77"/>
        <v>0</v>
      </c>
      <c r="BK23" s="967">
        <v>2</v>
      </c>
      <c r="BL23" s="1286"/>
      <c r="BM23" s="1202">
        <f t="shared" si="78"/>
        <v>1</v>
      </c>
      <c r="BN23" s="1202" t="e">
        <f t="shared" si="79"/>
        <v>#DIV/0!</v>
      </c>
      <c r="BO23" s="1202">
        <f t="shared" si="80"/>
        <v>1</v>
      </c>
      <c r="BP23" s="1202" t="e">
        <f t="shared" si="81"/>
        <v>#DIV/0!</v>
      </c>
      <c r="BQ23" s="1298">
        <v>0</v>
      </c>
      <c r="BR23" s="79" t="str">
        <f t="shared" si="82"/>
        <v>No Prog ni Ejec</v>
      </c>
      <c r="BS23" s="79" t="str">
        <f t="shared" si="83"/>
        <v>No Prog ni Ejec</v>
      </c>
      <c r="BT23" s="79" t="str">
        <f t="shared" si="84"/>
        <v>No Prog ni Ejec</v>
      </c>
      <c r="BU23" s="79" t="str">
        <f t="shared" si="85"/>
        <v>No Prog ni Ejec</v>
      </c>
      <c r="BV23" s="79" t="str">
        <f t="shared" si="86"/>
        <v>No Prog ni Ejec</v>
      </c>
      <c r="BW23" s="79" t="str">
        <f t="shared" si="87"/>
        <v>No Prog ni Ejec</v>
      </c>
      <c r="BX23" s="79">
        <f t="shared" si="88"/>
        <v>1</v>
      </c>
      <c r="BY23" s="79" t="str">
        <f t="shared" si="89"/>
        <v>No Prog ni Ejec</v>
      </c>
    </row>
    <row r="24" spans="1:229" s="69" customFormat="1" ht="120" hidden="1" customHeight="1" x14ac:dyDescent="0.2">
      <c r="A24" s="1016">
        <v>11400</v>
      </c>
      <c r="B24" s="1015" t="s">
        <v>12</v>
      </c>
      <c r="C24" s="1015" t="s">
        <v>330</v>
      </c>
      <c r="D24" s="1019" t="s">
        <v>1017</v>
      </c>
      <c r="E24" s="68"/>
      <c r="F24" s="1016" t="s">
        <v>65</v>
      </c>
      <c r="G24" s="1015" t="s">
        <v>345</v>
      </c>
      <c r="H24" s="1015" t="s">
        <v>204</v>
      </c>
      <c r="I24" s="1015" t="s">
        <v>204</v>
      </c>
      <c r="J24" s="1017" t="s">
        <v>1786</v>
      </c>
      <c r="K24" s="1015" t="s">
        <v>1780</v>
      </c>
      <c r="L24" s="1018" t="s">
        <v>491</v>
      </c>
      <c r="M24" s="66">
        <v>2</v>
      </c>
      <c r="N24" s="1211" t="s">
        <v>1784</v>
      </c>
      <c r="O24" s="1201" t="s">
        <v>1783</v>
      </c>
      <c r="P24" s="1302">
        <v>0</v>
      </c>
      <c r="Q24" s="1206">
        <v>1</v>
      </c>
      <c r="R24" s="1015" t="s">
        <v>17</v>
      </c>
      <c r="S24" s="1015" t="s">
        <v>26</v>
      </c>
      <c r="T24" s="1015" t="s">
        <v>629</v>
      </c>
      <c r="U24" s="1015" t="s">
        <v>631</v>
      </c>
      <c r="V24" s="1201" t="s">
        <v>71</v>
      </c>
      <c r="W24" s="1300" t="s">
        <v>1266</v>
      </c>
      <c r="X24" s="1015" t="s">
        <v>1789</v>
      </c>
      <c r="Y24" s="1015" t="s">
        <v>204</v>
      </c>
      <c r="Z24" s="66">
        <v>2</v>
      </c>
      <c r="AA24" s="1201" t="str">
        <f>+O24</f>
        <v>Apoyar al Ministerio de Salud y Protección Social en la definición de los techos o presupuesto máximos que la ADRES transferirá a las EPS para financiar y gestionar los servicios y tecnologías en salud no financiados con la UPC.</v>
      </c>
      <c r="AB24" s="1301">
        <f>+P24</f>
        <v>0</v>
      </c>
      <c r="AC24" s="1300" t="s">
        <v>48</v>
      </c>
      <c r="AD24" s="1041">
        <v>0</v>
      </c>
      <c r="AE24" s="1201" t="str">
        <f t="shared" si="58"/>
        <v>Apoyar al Ministerio de Salud y Protección Social en la definición de los techos o presupuesto máximos que la ADRES transferirá a las EPS para financiar y gestionar los servicios y tecnologías en salud no financiados con la UPC.</v>
      </c>
      <c r="AF24" s="1256">
        <f t="shared" si="59"/>
        <v>0</v>
      </c>
      <c r="AG24" s="967"/>
      <c r="AH24" s="1286"/>
      <c r="AI24" s="1202" t="e">
        <f t="shared" si="60"/>
        <v>#DIV/0!</v>
      </c>
      <c r="AJ24" s="1202" t="e">
        <f t="shared" si="61"/>
        <v>#DIV/0!</v>
      </c>
      <c r="AK24" s="1202">
        <f t="shared" si="62"/>
        <v>0</v>
      </c>
      <c r="AL24" s="1202" t="e">
        <f t="shared" si="63"/>
        <v>#DIV/0!</v>
      </c>
      <c r="AM24" s="1299"/>
      <c r="AN24" s="1041">
        <v>0</v>
      </c>
      <c r="AO24" s="1201" t="str">
        <f t="shared" si="64"/>
        <v>Apoyar al Ministerio de Salud y Protección Social en la definición de los techos o presupuesto máximos que la ADRES transferirá a las EPS para financiar y gestionar los servicios y tecnologías en salud no financiados con la UPC.</v>
      </c>
      <c r="AP24" s="1256">
        <f t="shared" si="65"/>
        <v>0</v>
      </c>
      <c r="AQ24" s="967"/>
      <c r="AR24" s="1286"/>
      <c r="AS24" s="1202" t="e">
        <f t="shared" si="66"/>
        <v>#DIV/0!</v>
      </c>
      <c r="AT24" s="1202" t="e">
        <f t="shared" si="67"/>
        <v>#DIV/0!</v>
      </c>
      <c r="AU24" s="1202">
        <f t="shared" si="68"/>
        <v>0</v>
      </c>
      <c r="AV24" s="1202" t="e">
        <f t="shared" si="69"/>
        <v>#DIV/0!</v>
      </c>
      <c r="AW24" s="1299"/>
      <c r="AX24" s="1041">
        <v>0</v>
      </c>
      <c r="AY24" s="1201" t="str">
        <f t="shared" si="70"/>
        <v>Apoyar al Ministerio de Salud y Protección Social en la definición de los techos o presupuesto máximos que la ADRES transferirá a las EPS para financiar y gestionar los servicios y tecnologías en salud no financiados con la UPC.</v>
      </c>
      <c r="AZ24" s="1256">
        <f t="shared" si="71"/>
        <v>0</v>
      </c>
      <c r="BA24" s="967">
        <v>0</v>
      </c>
      <c r="BB24" s="1286">
        <v>0</v>
      </c>
      <c r="BC24" s="1202" t="e">
        <f t="shared" si="72"/>
        <v>#DIV/0!</v>
      </c>
      <c r="BD24" s="1202" t="e">
        <f t="shared" si="73"/>
        <v>#DIV/0!</v>
      </c>
      <c r="BE24" s="1202">
        <f t="shared" si="74"/>
        <v>0</v>
      </c>
      <c r="BF24" s="1202" t="e">
        <f t="shared" si="75"/>
        <v>#DIV/0!</v>
      </c>
      <c r="BG24" s="1299"/>
      <c r="BH24" s="67">
        <v>2</v>
      </c>
      <c r="BI24" s="1201" t="str">
        <f t="shared" si="76"/>
        <v>Apoyar al Ministerio de Salud y Protección Social en la definición de los techos o presupuesto máximos que la ADRES transferirá a las EPS para financiar y gestionar los servicios y tecnologías en salud no financiados con la UPC.</v>
      </c>
      <c r="BJ24" s="1256">
        <f t="shared" si="77"/>
        <v>0</v>
      </c>
      <c r="BK24" s="967">
        <v>2</v>
      </c>
      <c r="BL24" s="1286">
        <v>0</v>
      </c>
      <c r="BM24" s="1202">
        <f t="shared" si="78"/>
        <v>1</v>
      </c>
      <c r="BN24" s="1202" t="e">
        <f t="shared" si="79"/>
        <v>#DIV/0!</v>
      </c>
      <c r="BO24" s="1202">
        <f t="shared" si="80"/>
        <v>1</v>
      </c>
      <c r="BP24" s="1202" t="e">
        <f t="shared" si="81"/>
        <v>#DIV/0!</v>
      </c>
      <c r="BQ24" s="1296" t="s">
        <v>2004</v>
      </c>
      <c r="BR24" s="79" t="str">
        <f t="shared" si="82"/>
        <v>No Prog ni Ejec</v>
      </c>
      <c r="BS24" s="79" t="str">
        <f t="shared" si="83"/>
        <v>No Prog ni Ejec</v>
      </c>
      <c r="BT24" s="79" t="str">
        <f t="shared" si="84"/>
        <v>No Prog ni Ejec</v>
      </c>
      <c r="BU24" s="79" t="str">
        <f t="shared" si="85"/>
        <v>No Prog ni Ejec</v>
      </c>
      <c r="BV24" s="79" t="str">
        <f t="shared" si="86"/>
        <v>No Prog ni Ejec</v>
      </c>
      <c r="BW24" s="79" t="str">
        <f t="shared" si="87"/>
        <v>No Prog ni Ejec</v>
      </c>
      <c r="BX24" s="79">
        <f t="shared" si="88"/>
        <v>1</v>
      </c>
      <c r="BY24" s="79" t="str">
        <f t="shared" si="89"/>
        <v>No Prog ni Ejec</v>
      </c>
    </row>
    <row r="25" spans="1:229" s="69" customFormat="1" ht="120" hidden="1" customHeight="1" x14ac:dyDescent="0.2">
      <c r="A25" s="1016">
        <v>11400</v>
      </c>
      <c r="B25" s="1015" t="s">
        <v>12</v>
      </c>
      <c r="C25" s="1015" t="s">
        <v>330</v>
      </c>
      <c r="D25" s="1019" t="s">
        <v>1017</v>
      </c>
      <c r="E25" s="68"/>
      <c r="F25" s="1016" t="s">
        <v>65</v>
      </c>
      <c r="G25" s="1015" t="s">
        <v>345</v>
      </c>
      <c r="H25" s="1015" t="s">
        <v>204</v>
      </c>
      <c r="I25" s="1015" t="s">
        <v>204</v>
      </c>
      <c r="J25" s="1017" t="s">
        <v>1785</v>
      </c>
      <c r="K25" s="1015" t="s">
        <v>1781</v>
      </c>
      <c r="L25" s="1018" t="s">
        <v>491</v>
      </c>
      <c r="M25" s="66">
        <v>1</v>
      </c>
      <c r="N25" s="1211"/>
      <c r="O25" s="1201"/>
      <c r="P25" s="1302"/>
      <c r="Q25" s="1206"/>
      <c r="R25" s="1015" t="s">
        <v>17</v>
      </c>
      <c r="S25" s="1015" t="s">
        <v>304</v>
      </c>
      <c r="T25" s="1015" t="s">
        <v>629</v>
      </c>
      <c r="U25" s="1015" t="s">
        <v>631</v>
      </c>
      <c r="V25" s="1201"/>
      <c r="W25" s="1300"/>
      <c r="X25" s="1015" t="s">
        <v>1790</v>
      </c>
      <c r="Y25" s="1015" t="s">
        <v>204</v>
      </c>
      <c r="Z25" s="66">
        <v>1</v>
      </c>
      <c r="AA25" s="1201"/>
      <c r="AB25" s="1301"/>
      <c r="AC25" s="1300"/>
      <c r="AD25" s="1041">
        <v>0</v>
      </c>
      <c r="AE25" s="1201">
        <f t="shared" si="58"/>
        <v>0</v>
      </c>
      <c r="AF25" s="1256"/>
      <c r="AG25" s="967"/>
      <c r="AH25" s="1286"/>
      <c r="AI25" s="1202"/>
      <c r="AJ25" s="1202"/>
      <c r="AK25" s="1202"/>
      <c r="AL25" s="1202"/>
      <c r="AM25" s="1299"/>
      <c r="AN25" s="1041">
        <v>0</v>
      </c>
      <c r="AO25" s="1201">
        <f t="shared" si="64"/>
        <v>0</v>
      </c>
      <c r="AP25" s="1256">
        <f t="shared" si="65"/>
        <v>0</v>
      </c>
      <c r="AQ25" s="967"/>
      <c r="AR25" s="1286"/>
      <c r="AS25" s="1202" t="e">
        <f t="shared" si="66"/>
        <v>#DIV/0!</v>
      </c>
      <c r="AT25" s="1202" t="e">
        <f t="shared" si="67"/>
        <v>#DIV/0!</v>
      </c>
      <c r="AU25" s="1202">
        <f t="shared" si="68"/>
        <v>0</v>
      </c>
      <c r="AV25" s="1202" t="e">
        <f t="shared" si="69"/>
        <v>#DIV/0!</v>
      </c>
      <c r="AW25" s="1299"/>
      <c r="AX25" s="1041">
        <v>0</v>
      </c>
      <c r="AY25" s="1201">
        <f t="shared" si="70"/>
        <v>0</v>
      </c>
      <c r="AZ25" s="1256">
        <f t="shared" si="71"/>
        <v>0</v>
      </c>
      <c r="BA25" s="967">
        <v>0</v>
      </c>
      <c r="BB25" s="1286"/>
      <c r="BC25" s="1202" t="e">
        <f t="shared" si="72"/>
        <v>#DIV/0!</v>
      </c>
      <c r="BD25" s="1202" t="e">
        <f t="shared" si="73"/>
        <v>#DIV/0!</v>
      </c>
      <c r="BE25" s="1202">
        <f t="shared" si="74"/>
        <v>0</v>
      </c>
      <c r="BF25" s="1202" t="e">
        <f t="shared" si="75"/>
        <v>#DIV/0!</v>
      </c>
      <c r="BG25" s="1299"/>
      <c r="BH25" s="67">
        <v>1</v>
      </c>
      <c r="BI25" s="1201">
        <f t="shared" si="76"/>
        <v>0</v>
      </c>
      <c r="BJ25" s="1256">
        <f t="shared" si="77"/>
        <v>0</v>
      </c>
      <c r="BK25" s="967">
        <v>1</v>
      </c>
      <c r="BL25" s="1286"/>
      <c r="BM25" s="1202">
        <f t="shared" si="78"/>
        <v>1</v>
      </c>
      <c r="BN25" s="1202" t="e">
        <f t="shared" si="79"/>
        <v>#DIV/0!</v>
      </c>
      <c r="BO25" s="1202">
        <f t="shared" si="80"/>
        <v>1</v>
      </c>
      <c r="BP25" s="1202" t="e">
        <f t="shared" si="81"/>
        <v>#DIV/0!</v>
      </c>
      <c r="BQ25" s="1297">
        <v>0</v>
      </c>
      <c r="BR25" s="79" t="str">
        <f t="shared" si="82"/>
        <v>No Prog ni Ejec</v>
      </c>
      <c r="BS25" s="79" t="str">
        <f t="shared" si="83"/>
        <v>No Prog ni Ejec</v>
      </c>
      <c r="BT25" s="79" t="str">
        <f t="shared" si="84"/>
        <v>No Prog ni Ejec</v>
      </c>
      <c r="BU25" s="79" t="str">
        <f t="shared" si="85"/>
        <v>No Prog ni Ejec</v>
      </c>
      <c r="BV25" s="79" t="str">
        <f t="shared" si="86"/>
        <v>No Prog ni Ejec</v>
      </c>
      <c r="BW25" s="79" t="str">
        <f t="shared" si="87"/>
        <v>No Prog ni Ejec</v>
      </c>
      <c r="BX25" s="79">
        <f t="shared" si="88"/>
        <v>1</v>
      </c>
      <c r="BY25" s="79" t="str">
        <f t="shared" si="89"/>
        <v>No Prog ni Ejec</v>
      </c>
    </row>
    <row r="26" spans="1:229" x14ac:dyDescent="0.2">
      <c r="A26" s="77"/>
      <c r="B26" s="77"/>
      <c r="C26" s="77"/>
      <c r="D26" s="77"/>
      <c r="E26" s="77"/>
      <c r="F26" s="77"/>
      <c r="G26" s="77"/>
      <c r="H26" s="77"/>
      <c r="I26" s="77"/>
      <c r="J26" s="77"/>
      <c r="K26" s="77"/>
      <c r="L26" s="142"/>
      <c r="M26" s="77"/>
      <c r="N26" s="77"/>
      <c r="O26" s="77"/>
      <c r="P26" s="143"/>
      <c r="Q26" s="77"/>
      <c r="R26" s="77"/>
      <c r="S26" s="77"/>
      <c r="T26" s="77"/>
      <c r="U26" s="77"/>
      <c r="V26" s="77"/>
      <c r="W26" s="77"/>
      <c r="X26" s="77"/>
      <c r="Y26" s="77"/>
      <c r="Z26" s="77"/>
      <c r="AA26" s="77"/>
      <c r="AB26" s="77"/>
      <c r="AC26" s="77"/>
      <c r="AO26" s="144"/>
    </row>
    <row r="27" spans="1:229" x14ac:dyDescent="0.2">
      <c r="A27" s="77"/>
      <c r="B27" s="77"/>
      <c r="C27" s="77"/>
      <c r="D27" s="77"/>
      <c r="E27" s="77"/>
      <c r="F27" s="77"/>
      <c r="G27" s="77"/>
      <c r="H27" s="77"/>
      <c r="I27" s="77"/>
      <c r="J27" s="77"/>
      <c r="K27" s="77"/>
      <c r="L27" s="142"/>
      <c r="M27" s="77"/>
      <c r="N27" s="77"/>
      <c r="O27" s="77"/>
      <c r="P27" s="143"/>
      <c r="Q27" s="77"/>
      <c r="R27" s="77"/>
      <c r="S27" s="77"/>
      <c r="T27" s="77"/>
      <c r="U27" s="77"/>
      <c r="V27" s="77"/>
      <c r="W27" s="77"/>
      <c r="X27" s="77"/>
      <c r="Y27" s="77"/>
      <c r="Z27" s="77"/>
      <c r="AA27" s="77"/>
      <c r="AB27" s="77"/>
      <c r="AC27" s="77"/>
      <c r="AO27" s="144"/>
    </row>
    <row r="28" spans="1:229" ht="33" customHeight="1" x14ac:dyDescent="0.2">
      <c r="A28" s="1326" t="s">
        <v>2103</v>
      </c>
      <c r="B28" s="1326"/>
      <c r="C28" s="1326"/>
      <c r="D28" s="1326"/>
      <c r="E28" s="1326"/>
      <c r="F28" s="1326"/>
      <c r="G28" s="1326"/>
      <c r="H28" s="1326"/>
      <c r="I28" s="1326"/>
      <c r="J28" s="1326"/>
      <c r="K28" s="1326"/>
      <c r="L28" s="1326"/>
      <c r="M28" s="1326"/>
      <c r="N28" s="145"/>
      <c r="P28" s="146"/>
      <c r="BR28" s="1333" t="s">
        <v>179</v>
      </c>
      <c r="BS28" s="1334"/>
      <c r="BT28" s="1334"/>
      <c r="BU28" s="1334"/>
      <c r="BV28" s="1334"/>
      <c r="BW28" s="1335"/>
    </row>
    <row r="29" spans="1:229" x14ac:dyDescent="0.2">
      <c r="A29" s="77"/>
      <c r="B29" s="77"/>
      <c r="C29" s="77"/>
      <c r="D29" s="77"/>
      <c r="E29" s="77"/>
      <c r="F29" s="77"/>
      <c r="G29" s="77"/>
      <c r="H29" s="77"/>
      <c r="I29" s="77"/>
      <c r="J29" s="77"/>
      <c r="K29" s="77"/>
      <c r="L29" s="142"/>
      <c r="P29" s="134"/>
      <c r="BR29" s="1320" t="s">
        <v>180</v>
      </c>
      <c r="BS29" s="1321"/>
      <c r="BT29" s="1313" t="s">
        <v>181</v>
      </c>
      <c r="BU29" s="1314"/>
      <c r="BV29" s="1314"/>
      <c r="BW29" s="1315"/>
    </row>
    <row r="30" spans="1:229" ht="15" hidden="1" x14ac:dyDescent="0.25">
      <c r="A30" s="574"/>
      <c r="B30" s="22" t="s">
        <v>1488</v>
      </c>
      <c r="C30" s="77"/>
      <c r="D30" s="77"/>
      <c r="E30" s="77"/>
      <c r="F30" s="77"/>
      <c r="G30" s="77"/>
      <c r="H30" s="77"/>
      <c r="I30" s="77"/>
      <c r="J30" s="77"/>
      <c r="K30" s="77"/>
      <c r="L30" s="142"/>
      <c r="P30" s="147"/>
      <c r="BR30" s="1322" t="s">
        <v>196</v>
      </c>
      <c r="BS30" s="1323"/>
      <c r="BT30" s="1313" t="s">
        <v>198</v>
      </c>
      <c r="BU30" s="1314"/>
      <c r="BV30" s="1314"/>
      <c r="BW30" s="1315"/>
    </row>
    <row r="31" spans="1:229" x14ac:dyDescent="0.2">
      <c r="A31" s="77"/>
      <c r="B31" s="77"/>
      <c r="C31" s="77"/>
      <c r="D31" s="77"/>
      <c r="E31" s="77"/>
      <c r="F31" s="77"/>
      <c r="G31" s="77"/>
      <c r="H31" s="77"/>
      <c r="I31" s="77"/>
      <c r="J31" s="77"/>
      <c r="K31" s="77"/>
      <c r="L31" s="142"/>
      <c r="BR31" s="1324" t="s">
        <v>197</v>
      </c>
      <c r="BS31" s="1325"/>
      <c r="BT31" s="1313" t="s">
        <v>182</v>
      </c>
      <c r="BU31" s="1314"/>
      <c r="BV31" s="1314"/>
      <c r="BW31" s="1315"/>
    </row>
    <row r="32" spans="1:229" x14ac:dyDescent="0.2">
      <c r="A32" s="77"/>
      <c r="B32" s="77"/>
      <c r="C32" s="77"/>
      <c r="D32" s="77"/>
      <c r="E32" s="77"/>
      <c r="F32" s="77"/>
      <c r="G32" s="77"/>
      <c r="H32" s="77"/>
      <c r="I32" s="77"/>
      <c r="J32" s="77"/>
      <c r="K32" s="77"/>
      <c r="L32" s="142"/>
      <c r="P32" s="134"/>
      <c r="BR32" s="1311" t="s">
        <v>194</v>
      </c>
      <c r="BS32" s="1312"/>
      <c r="BT32" s="1313" t="s">
        <v>183</v>
      </c>
      <c r="BU32" s="1314"/>
      <c r="BV32" s="1314"/>
      <c r="BW32" s="1315"/>
    </row>
    <row r="33" spans="1:75" x14ac:dyDescent="0.2">
      <c r="A33" s="77"/>
      <c r="B33" s="77"/>
      <c r="C33" s="77"/>
      <c r="D33" s="77"/>
      <c r="E33" s="77"/>
      <c r="F33" s="77"/>
      <c r="G33" s="77"/>
      <c r="H33" s="77"/>
      <c r="I33" s="77"/>
      <c r="J33" s="77"/>
      <c r="K33" s="77"/>
      <c r="L33" s="142"/>
      <c r="BR33" s="1316" t="s">
        <v>241</v>
      </c>
      <c r="BS33" s="1317"/>
      <c r="BT33" s="1313" t="s">
        <v>184</v>
      </c>
      <c r="BU33" s="1314"/>
      <c r="BV33" s="1314"/>
      <c r="BW33" s="1315"/>
    </row>
    <row r="34" spans="1:75" x14ac:dyDescent="0.2">
      <c r="A34" s="77"/>
      <c r="B34" s="77"/>
      <c r="C34" s="77"/>
      <c r="D34" s="77"/>
      <c r="E34" s="77"/>
      <c r="F34" s="77"/>
      <c r="G34" s="77"/>
      <c r="H34" s="77"/>
      <c r="I34" s="77"/>
      <c r="J34" s="77"/>
      <c r="K34" s="77"/>
      <c r="L34" s="142"/>
      <c r="BR34" s="1318" t="s">
        <v>185</v>
      </c>
      <c r="BS34" s="1318"/>
      <c r="BT34" s="1319" t="s">
        <v>186</v>
      </c>
      <c r="BU34" s="1319"/>
      <c r="BV34" s="1319"/>
      <c r="BW34" s="1319"/>
    </row>
    <row r="35" spans="1:75" x14ac:dyDescent="0.2">
      <c r="A35" s="77"/>
      <c r="B35" s="77"/>
      <c r="C35" s="77"/>
      <c r="D35" s="77"/>
      <c r="E35" s="77"/>
      <c r="F35" s="77"/>
      <c r="G35" s="77"/>
      <c r="H35" s="77"/>
      <c r="I35" s="77"/>
      <c r="J35" s="77"/>
      <c r="K35" s="77"/>
      <c r="L35" s="142"/>
    </row>
    <row r="36" spans="1:75" x14ac:dyDescent="0.2">
      <c r="A36" s="77"/>
      <c r="B36" s="77"/>
      <c r="C36" s="77"/>
      <c r="D36" s="77"/>
      <c r="E36" s="77"/>
      <c r="F36" s="77"/>
      <c r="G36" s="77"/>
      <c r="H36" s="77"/>
      <c r="I36" s="77"/>
      <c r="J36" s="77"/>
      <c r="K36" s="77"/>
      <c r="L36" s="142"/>
    </row>
    <row r="37" spans="1:75" x14ac:dyDescent="0.2">
      <c r="A37" s="77"/>
      <c r="B37" s="77"/>
      <c r="C37" s="77"/>
      <c r="D37" s="77"/>
      <c r="E37" s="77"/>
      <c r="F37" s="77"/>
      <c r="G37" s="77"/>
      <c r="H37" s="77"/>
      <c r="I37" s="77"/>
      <c r="J37" s="77"/>
      <c r="K37" s="77"/>
      <c r="L37" s="142"/>
    </row>
    <row r="38" spans="1:75" x14ac:dyDescent="0.2">
      <c r="A38" s="77"/>
      <c r="B38" s="77"/>
      <c r="C38" s="77"/>
      <c r="D38" s="77"/>
      <c r="E38" s="77"/>
      <c r="F38" s="77"/>
      <c r="G38" s="77"/>
      <c r="H38" s="77"/>
      <c r="I38" s="77"/>
      <c r="J38" s="77"/>
      <c r="K38" s="77"/>
      <c r="L38" s="142"/>
    </row>
    <row r="39" spans="1:75" x14ac:dyDescent="0.2">
      <c r="A39" s="77"/>
      <c r="B39" s="77"/>
      <c r="C39" s="77"/>
      <c r="D39" s="77"/>
      <c r="E39" s="77"/>
      <c r="F39" s="77"/>
      <c r="G39" s="77"/>
      <c r="H39" s="77"/>
      <c r="I39" s="77"/>
      <c r="J39" s="77"/>
      <c r="K39" s="77"/>
      <c r="L39" s="142"/>
    </row>
    <row r="40" spans="1:75" x14ac:dyDescent="0.2">
      <c r="A40" s="77"/>
      <c r="B40" s="77"/>
      <c r="C40" s="77"/>
      <c r="D40" s="77"/>
      <c r="E40" s="77"/>
      <c r="F40" s="77"/>
      <c r="G40" s="77"/>
      <c r="H40" s="77"/>
      <c r="I40" s="77"/>
      <c r="J40" s="77"/>
      <c r="K40" s="77"/>
      <c r="L40" s="142"/>
    </row>
    <row r="41" spans="1:75" x14ac:dyDescent="0.2">
      <c r="A41" s="77"/>
      <c r="B41" s="77"/>
      <c r="C41" s="77"/>
      <c r="D41" s="77"/>
      <c r="E41" s="77"/>
      <c r="F41" s="77"/>
      <c r="G41" s="77"/>
      <c r="H41" s="77"/>
      <c r="I41" s="77"/>
      <c r="J41" s="77"/>
      <c r="K41" s="77"/>
      <c r="L41" s="142"/>
    </row>
    <row r="42" spans="1:75" x14ac:dyDescent="0.2">
      <c r="A42" s="77"/>
      <c r="B42" s="77"/>
      <c r="C42" s="77"/>
      <c r="D42" s="77"/>
      <c r="E42" s="77"/>
      <c r="F42" s="77"/>
      <c r="G42" s="77"/>
      <c r="H42" s="77"/>
      <c r="I42" s="77"/>
      <c r="J42" s="77"/>
      <c r="K42" s="77"/>
      <c r="L42" s="142"/>
    </row>
  </sheetData>
  <sheetProtection algorithmName="SHA-512" hashValue="mHxNSjNJdqMRMFHzdCM+t3XAWYwR963IndLE7Mbi/8c6ToOcqM8iI3l2KQxj0RP6KBgjUWCJ3ZxA4+FRTRtrtQ==" saltValue="oMsUPZram5SLg3Vd6+QXAw==" spinCount="100000" sheet="1" objects="1" scenarios="1"/>
  <autoFilter ref="A8:HU25" xr:uid="{951C54C2-BCAE-4986-9B9E-0A53A8A66372}">
    <filterColumn colId="1">
      <filters>
        <filter val="Dirección de Gestión de Recursos Financieros de Salud"/>
      </filters>
    </filterColumn>
  </autoFilter>
  <mergeCells count="193">
    <mergeCell ref="A28:M28"/>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28:BW28"/>
    <mergeCell ref="AR10:AR12"/>
    <mergeCell ref="BR32:BS32"/>
    <mergeCell ref="BT32:BW32"/>
    <mergeCell ref="BR33:BS33"/>
    <mergeCell ref="BT33:BW33"/>
    <mergeCell ref="BR34:BS34"/>
    <mergeCell ref="BT34:BW34"/>
    <mergeCell ref="BR29:BS29"/>
    <mergeCell ref="BT29:BW29"/>
    <mergeCell ref="BR30:BS30"/>
    <mergeCell ref="BT30:BW30"/>
    <mergeCell ref="BR31:BS31"/>
    <mergeCell ref="BT31:BW31"/>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A1:B3"/>
    <mergeCell ref="C1:J1"/>
    <mergeCell ref="K1:BU1"/>
    <mergeCell ref="BV1:BY3"/>
    <mergeCell ref="C2:J2"/>
    <mergeCell ref="K2:K3"/>
    <mergeCell ref="L2:BS3"/>
    <mergeCell ref="BT2:BT3"/>
    <mergeCell ref="BU2:BU3"/>
    <mergeCell ref="C3:J3"/>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 ref="O22:O23"/>
    <mergeCell ref="N22:N23"/>
    <mergeCell ref="O24:O25"/>
    <mergeCell ref="N24:N25"/>
    <mergeCell ref="V22:V23"/>
    <mergeCell ref="V24:V25"/>
    <mergeCell ref="P22:P23"/>
    <mergeCell ref="P24:P25"/>
    <mergeCell ref="Q22:Q23"/>
    <mergeCell ref="Q24:Q25"/>
    <mergeCell ref="AE22:AE23"/>
    <mergeCell ref="AE24:AE25"/>
    <mergeCell ref="AF22:AF23"/>
    <mergeCell ref="AF24:AF25"/>
    <mergeCell ref="AH22:AH23"/>
    <mergeCell ref="AH24:AH25"/>
    <mergeCell ref="AI22:AI23"/>
    <mergeCell ref="W22:W23"/>
    <mergeCell ref="W24:W25"/>
    <mergeCell ref="AA22:AA23"/>
    <mergeCell ref="AA24:AA25"/>
    <mergeCell ref="AB22:AB23"/>
    <mergeCell ref="AB24:AB25"/>
    <mergeCell ref="AC22:AC23"/>
    <mergeCell ref="AC24:AC25"/>
    <mergeCell ref="AJ22:AJ23"/>
    <mergeCell ref="AK22:AK23"/>
    <mergeCell ref="AL22:AL23"/>
    <mergeCell ref="AI24:AI25"/>
    <mergeCell ref="AJ24:AJ25"/>
    <mergeCell ref="AK24:AK25"/>
    <mergeCell ref="AL24:AL25"/>
    <mergeCell ref="AM22:AM23"/>
    <mergeCell ref="AM24:AM25"/>
    <mergeCell ref="AO24:AO25"/>
    <mergeCell ref="AP24:AP25"/>
    <mergeCell ref="AR24:AR25"/>
    <mergeCell ref="AS24:AS25"/>
    <mergeCell ref="AT24:AT25"/>
    <mergeCell ref="AU24:AU25"/>
    <mergeCell ref="AV24:AV25"/>
    <mergeCell ref="AW24:AW25"/>
    <mergeCell ref="AO22:AO23"/>
    <mergeCell ref="AP22:AP23"/>
    <mergeCell ref="AR22:AR23"/>
    <mergeCell ref="AS22:AS23"/>
    <mergeCell ref="AT22:AT23"/>
    <mergeCell ref="AU22:AU23"/>
    <mergeCell ref="AV22:AV23"/>
    <mergeCell ref="AW22:AW23"/>
    <mergeCell ref="BG22:BG23"/>
    <mergeCell ref="AY24:AY25"/>
    <mergeCell ref="AZ24:AZ25"/>
    <mergeCell ref="BB24:BB25"/>
    <mergeCell ref="BC24:BC25"/>
    <mergeCell ref="BD24:BD25"/>
    <mergeCell ref="BE24:BE25"/>
    <mergeCell ref="BF24:BF25"/>
    <mergeCell ref="BG24:BG25"/>
    <mergeCell ref="AY22:AY23"/>
    <mergeCell ref="AZ22:AZ23"/>
    <mergeCell ref="BB22:BB23"/>
    <mergeCell ref="BC22:BC23"/>
    <mergeCell ref="BD22:BD23"/>
    <mergeCell ref="BE22:BE23"/>
    <mergeCell ref="BF22:BF23"/>
    <mergeCell ref="BI24:BI25"/>
    <mergeCell ref="BJ24:BJ25"/>
    <mergeCell ref="BL24:BL25"/>
    <mergeCell ref="BM24:BM25"/>
    <mergeCell ref="BN24:BN25"/>
    <mergeCell ref="BO24:BO25"/>
    <mergeCell ref="BP24:BP25"/>
    <mergeCell ref="BQ24:BQ25"/>
    <mergeCell ref="BI22:BI23"/>
    <mergeCell ref="BJ22:BJ23"/>
    <mergeCell ref="BL22:BL23"/>
    <mergeCell ref="BM22:BM23"/>
    <mergeCell ref="BN22:BN23"/>
    <mergeCell ref="BO22:BO23"/>
    <mergeCell ref="BP22:BP23"/>
    <mergeCell ref="BQ22:BQ23"/>
  </mergeCells>
  <conditionalFormatting sqref="BR9:BY10 BR13:BY20 BR11:BR12 BT11:BT12 BV11:BV12 BX11:BX12">
    <cfRule type="cellIs" dxfId="13348" priority="55" operator="equal">
      <formula>#REF!</formula>
    </cfRule>
    <cfRule type="cellIs" dxfId="13347" priority="56" operator="greaterThan">
      <formula>1</formula>
    </cfRule>
    <cfRule type="cellIs" dxfId="13346" priority="57" operator="equal">
      <formula>100%</formula>
    </cfRule>
    <cfRule type="cellIs" dxfId="13345" priority="58" operator="between">
      <formula>80%</formula>
      <formula>99%</formula>
    </cfRule>
    <cfRule type="cellIs" dxfId="13344" priority="59" operator="between">
      <formula>0%</formula>
      <formula>79%</formula>
    </cfRule>
  </conditionalFormatting>
  <conditionalFormatting sqref="BR21:BY21">
    <cfRule type="cellIs" dxfId="13343" priority="7" operator="equal">
      <formula>#REF!</formula>
    </cfRule>
    <cfRule type="cellIs" dxfId="13342" priority="8" operator="greaterThan">
      <formula>1</formula>
    </cfRule>
    <cfRule type="cellIs" dxfId="13341" priority="9" operator="equal">
      <formula>100%</formula>
    </cfRule>
    <cfRule type="cellIs" dxfId="13340" priority="10" operator="between">
      <formula>80%</formula>
      <formula>99%</formula>
    </cfRule>
    <cfRule type="cellIs" dxfId="13339" priority="11" operator="between">
      <formula>0%</formula>
      <formula>79%</formula>
    </cfRule>
  </conditionalFormatting>
  <conditionalFormatting sqref="BR22:BY25">
    <cfRule type="cellIs" dxfId="13338" priority="1" operator="equal">
      <formula>#REF!</formula>
    </cfRule>
    <cfRule type="cellIs" dxfId="13337" priority="2" operator="greaterThan">
      <formula>1</formula>
    </cfRule>
    <cfRule type="cellIs" dxfId="13336" priority="3" operator="equal">
      <formula>100%</formula>
    </cfRule>
    <cfRule type="cellIs" dxfId="13335" priority="4" operator="between">
      <formula>80%</formula>
      <formula>99%</formula>
    </cfRule>
    <cfRule type="cellIs" dxfId="13334"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0"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12"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6" operator="containsText" id="{3E416D28-D9FC-4B90-80C5-0435128A10E7}">
            <xm:f>NOT(ISERROR(SEARCH(#REF!,BR22)))</xm:f>
            <xm:f>#REF!</xm:f>
            <x14:dxf>
              <font>
                <color theme="4"/>
              </font>
              <fill>
                <patternFill>
                  <bgColor theme="5" tint="0.59996337778862885"/>
                </patternFill>
              </fill>
            </x14:dxf>
          </x14:cfRule>
          <xm:sqref>BR22:BY25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300-000000000000}">
          <x14:formula1>
            <xm:f>'TAB. REF. PA'!$X$4:$X$9</xm:f>
          </x14:formula1>
          <xm:sqref>H17:H19 H12:H13 I9:I25</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G9:G25</xm:sqref>
        </x14:dataValidation>
        <x14:dataValidation type="list" allowBlank="1" showInputMessage="1" showErrorMessage="1" xr:uid="{00000000-0002-0000-0300-000008000000}">
          <x14:formula1>
            <xm:f>'TAB. REF. PA'!$W$3:$W$7</xm:f>
          </x14:formula1>
          <xm:sqref>AC9:AC22 AC24</xm:sqref>
        </x14:dataValidation>
        <x14:dataValidation type="list" allowBlank="1" showInputMessage="1" showErrorMessage="1" xr:uid="{00000000-0002-0000-0300-000009000000}">
          <x14:formula1>
            <xm:f>'TAB. REF. PA'!$Y$4:$Y$14</xm:f>
          </x14:formula1>
          <xm:sqref>A9:A25</xm:sqref>
        </x14:dataValidation>
        <x14:dataValidation type="list" allowBlank="1" showInputMessage="1" showErrorMessage="1" xr:uid="{00000000-0002-0000-0300-00000A000000}">
          <x14:formula1>
            <xm:f>'TAB. REF. PA'!$R$4:$R$12</xm:f>
          </x14:formula1>
          <xm:sqref>C9:C25</xm:sqref>
        </x14:dataValidation>
        <x14:dataValidation type="list" allowBlank="1" showInputMessage="1" showErrorMessage="1" xr:uid="{00000000-0002-0000-0300-00000B000000}">
          <x14:formula1>
            <xm:f>'TAB. REF. PA'!$B$4:$B$14</xm:f>
          </x14:formula1>
          <xm:sqref>B9:B25</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 type="list" allowBlank="1" showInputMessage="1" showErrorMessage="1" xr:uid="{3C2E2638-1334-4DC3-BFA0-03BC411C96A0}">
          <x14:formula1>
            <xm:f>'C:\Users\fernando.castro\Documents\Fcastro\Plan de acción 2019\[DIES-F07-08_Plan_Accion_2019_V01 aprobado publicación (2).xlsx]TAB. REF. PA'!#REF!</xm:f>
          </x14:formula1>
          <xm:sqref>R22:U25 V22 V24 Y22:Y25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C195"/>
  <sheetViews>
    <sheetView showGridLines="0" zoomScale="80" zoomScaleNormal="80" workbookViewId="0">
      <pane ySplit="8" topLeftCell="A10" activePane="bottomLeft" state="frozen"/>
      <selection activeCell="I2" sqref="A2:L4"/>
      <selection pane="bottomLeft" activeCell="A191" sqref="A191:T191"/>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customWidth="1"/>
    <col min="26" max="26" width="13.5703125" customWidth="1"/>
    <col min="27" max="27" width="14.5703125" customWidth="1"/>
    <col min="28" max="28" width="35.42578125" customWidth="1"/>
    <col min="29" max="29" width="26.7109375" customWidth="1"/>
    <col min="30" max="30" width="17.28515625" customWidth="1"/>
    <col min="31" max="31" width="21.42578125" customWidth="1"/>
    <col min="32" max="32" width="23.7109375" customWidth="1"/>
    <col min="33" max="33" width="25.7109375" customWidth="1"/>
    <col min="34" max="34" width="35" customWidth="1"/>
    <col min="35" max="35" width="19.140625" customWidth="1"/>
    <col min="36" max="36" width="33.7109375" customWidth="1"/>
    <col min="37" max="37" width="31" customWidth="1"/>
    <col min="38" max="38" width="28.28515625" customWidth="1"/>
    <col min="39" max="39" width="14.140625" customWidth="1"/>
    <col min="40" max="40" width="35.7109375" customWidth="1"/>
    <col min="41" max="41" width="27.7109375" customWidth="1"/>
    <col min="42" max="42" width="21.140625" customWidth="1"/>
    <col min="43" max="43" width="13.85546875" style="6" customWidth="1"/>
    <col min="44" max="44" width="35.7109375" style="6" customWidth="1"/>
    <col min="45" max="45" width="27.7109375" style="6" customWidth="1"/>
    <col min="46" max="46" width="13.5703125" style="6" customWidth="1"/>
    <col min="47" max="47" width="27.7109375" style="6" customWidth="1"/>
    <col min="48" max="48" width="11.42578125" style="6" customWidth="1"/>
    <col min="49" max="49" width="15.7109375" style="6" customWidth="1"/>
    <col min="50" max="50" width="11.42578125" style="6" customWidth="1"/>
    <col min="51" max="51" width="15.7109375" style="6" customWidth="1"/>
    <col min="52" max="52" width="50.7109375" style="6" customWidth="1"/>
    <col min="53" max="53" width="13.7109375" style="6" customWidth="1"/>
    <col min="54" max="54" width="35.7109375" style="6" customWidth="1"/>
    <col min="55" max="55" width="27.7109375" style="6" customWidth="1"/>
    <col min="56" max="56" width="17.140625" style="6" customWidth="1"/>
    <col min="57" max="57" width="27.7109375" style="6" customWidth="1"/>
    <col min="58" max="58" width="13.7109375" style="6" customWidth="1"/>
    <col min="59" max="59" width="15.7109375" style="6" customWidth="1"/>
    <col min="60" max="60" width="13.7109375" style="6" customWidth="1"/>
    <col min="61" max="61" width="15.7109375" style="6" customWidth="1"/>
    <col min="62" max="62" width="50.7109375" style="6"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8.85546875" style="6" bestFit="1"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1217"/>
      <c r="B1" s="1218"/>
      <c r="C1" s="1223" t="s">
        <v>246</v>
      </c>
      <c r="D1" s="1224"/>
      <c r="E1" s="1224"/>
      <c r="F1" s="1224"/>
      <c r="G1" s="1224"/>
      <c r="H1" s="1224"/>
      <c r="I1" s="1224"/>
      <c r="J1" s="1224"/>
      <c r="K1" s="1224"/>
      <c r="L1" s="1224"/>
      <c r="M1" s="1224"/>
      <c r="N1" s="1224"/>
      <c r="O1" s="1224"/>
      <c r="P1" s="1224"/>
      <c r="Q1" s="1224"/>
      <c r="R1" s="1224"/>
      <c r="S1" s="1224"/>
      <c r="T1" s="1224"/>
      <c r="U1" s="1224"/>
      <c r="V1" s="1224"/>
      <c r="W1" s="1225"/>
      <c r="X1" s="1226" t="s">
        <v>247</v>
      </c>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H1" s="1227"/>
      <c r="CI1" s="1356"/>
      <c r="CJ1" s="1357"/>
      <c r="CK1" s="1357"/>
      <c r="CL1" s="1357"/>
    </row>
    <row r="2" spans="1:107" ht="24" customHeight="1" x14ac:dyDescent="0.25">
      <c r="A2" s="1219"/>
      <c r="B2" s="1220"/>
      <c r="C2" s="1244" t="s">
        <v>248</v>
      </c>
      <c r="D2" s="1245"/>
      <c r="E2" s="1245"/>
      <c r="F2" s="1245"/>
      <c r="G2" s="1245"/>
      <c r="H2" s="1245"/>
      <c r="I2" s="1245"/>
      <c r="J2" s="1245"/>
      <c r="K2" s="1245"/>
      <c r="L2" s="1245"/>
      <c r="M2" s="1245"/>
      <c r="N2" s="1245"/>
      <c r="O2" s="1245"/>
      <c r="P2" s="1245"/>
      <c r="Q2" s="1245"/>
      <c r="R2" s="1245"/>
      <c r="S2" s="1245"/>
      <c r="T2" s="1245"/>
      <c r="U2" s="1245"/>
      <c r="V2" s="1245"/>
      <c r="W2" s="1246"/>
      <c r="X2" s="1247" t="s">
        <v>254</v>
      </c>
      <c r="Y2" s="1249" t="s">
        <v>250</v>
      </c>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c r="BS2" s="1249"/>
      <c r="BT2" s="1249"/>
      <c r="BU2" s="1249"/>
      <c r="BV2" s="1249"/>
      <c r="BW2" s="1249"/>
      <c r="BX2" s="1249"/>
      <c r="BY2" s="1249"/>
      <c r="BZ2" s="1249"/>
      <c r="CA2" s="1249"/>
      <c r="CB2" s="1249"/>
      <c r="CC2" s="1249"/>
      <c r="CD2" s="1249"/>
      <c r="CE2" s="1249"/>
      <c r="CF2" s="1249"/>
      <c r="CG2" s="1249" t="s">
        <v>249</v>
      </c>
      <c r="CH2" s="1251">
        <v>2</v>
      </c>
      <c r="CI2" s="1358"/>
      <c r="CJ2" s="1359"/>
      <c r="CK2" s="1359"/>
      <c r="CL2" s="1359"/>
    </row>
    <row r="3" spans="1:107" ht="25.5" customHeight="1" thickBot="1" x14ac:dyDescent="0.3">
      <c r="A3" s="1221"/>
      <c r="B3" s="1222"/>
      <c r="C3" s="1253" t="s">
        <v>242</v>
      </c>
      <c r="D3" s="1254"/>
      <c r="E3" s="1254"/>
      <c r="F3" s="1254"/>
      <c r="G3" s="1254"/>
      <c r="H3" s="1254"/>
      <c r="I3" s="1254"/>
      <c r="J3" s="1254"/>
      <c r="K3" s="1254"/>
      <c r="L3" s="1254"/>
      <c r="M3" s="1254"/>
      <c r="N3" s="1254"/>
      <c r="O3" s="1254"/>
      <c r="P3" s="1254"/>
      <c r="Q3" s="1254"/>
      <c r="R3" s="1254"/>
      <c r="S3" s="1254"/>
      <c r="T3" s="1254"/>
      <c r="U3" s="1254"/>
      <c r="V3" s="1254"/>
      <c r="W3" s="1255"/>
      <c r="X3" s="1248"/>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0"/>
      <c r="BT3" s="1250"/>
      <c r="BU3" s="1250"/>
      <c r="BV3" s="1250"/>
      <c r="BW3" s="1250"/>
      <c r="BX3" s="1250"/>
      <c r="BY3" s="1250"/>
      <c r="BZ3" s="1250"/>
      <c r="CA3" s="1250"/>
      <c r="CB3" s="1250"/>
      <c r="CC3" s="1250"/>
      <c r="CD3" s="1250"/>
      <c r="CE3" s="1250"/>
      <c r="CF3" s="1250"/>
      <c r="CG3" s="1250"/>
      <c r="CH3" s="1252"/>
      <c r="CI3" s="1360"/>
      <c r="CJ3" s="1361"/>
      <c r="CK3" s="1361"/>
      <c r="CL3" s="1361"/>
      <c r="CR3" s="122" t="s">
        <v>336</v>
      </c>
      <c r="CS3" s="122" t="s">
        <v>1014</v>
      </c>
      <c r="CT3" s="122" t="s">
        <v>1013</v>
      </c>
      <c r="CU3" s="122" t="s">
        <v>1015</v>
      </c>
      <c r="CV3" s="122" t="s">
        <v>842</v>
      </c>
      <c r="CW3" s="122" t="s">
        <v>996</v>
      </c>
      <c r="CX3" s="122" t="s">
        <v>1016</v>
      </c>
      <c r="CY3" s="122" t="s">
        <v>993</v>
      </c>
      <c r="CZ3" s="122" t="s">
        <v>331</v>
      </c>
      <c r="DA3" s="122" t="s">
        <v>988</v>
      </c>
      <c r="DB3" s="120" t="s">
        <v>991</v>
      </c>
      <c r="DC3" s="120" t="s">
        <v>990</v>
      </c>
    </row>
    <row r="4" spans="1:107" ht="15.75" x14ac:dyDescent="0.25">
      <c r="Q4" s="1344"/>
      <c r="R4" s="1344"/>
      <c r="T4" s="18"/>
      <c r="U4" s="27"/>
      <c r="V4" s="27"/>
      <c r="W4" s="18"/>
      <c r="X4" s="18"/>
      <c r="Y4" s="18"/>
      <c r="Z4" s="18"/>
      <c r="AA4" s="18"/>
      <c r="AB4" s="18"/>
      <c r="AC4" s="18"/>
      <c r="AD4" s="18"/>
      <c r="AE4" s="18"/>
    </row>
    <row r="5" spans="1:107" s="77" customFormat="1" ht="15.75" x14ac:dyDescent="0.25">
      <c r="A5" s="133" t="s">
        <v>346</v>
      </c>
      <c r="B5" s="22"/>
      <c r="C5" s="22"/>
      <c r="D5" s="22"/>
      <c r="E5" s="22"/>
      <c r="F5" s="22"/>
      <c r="G5" s="22"/>
      <c r="H5" s="22"/>
      <c r="I5" s="22"/>
      <c r="J5" s="22"/>
      <c r="K5" s="22"/>
      <c r="L5" s="22"/>
      <c r="M5" s="22"/>
      <c r="N5" s="22"/>
      <c r="O5" s="22"/>
      <c r="P5" s="22"/>
      <c r="Q5" s="1344"/>
      <c r="R5" s="1344"/>
      <c r="S5" s="22"/>
      <c r="T5" s="1344"/>
      <c r="U5" s="1344"/>
      <c r="V5" s="1344"/>
      <c r="W5" s="1344"/>
      <c r="X5" s="1344"/>
      <c r="Y5" s="1344"/>
      <c r="Z5" s="1344"/>
      <c r="AA5" s="1344"/>
      <c r="AB5" s="1344"/>
      <c r="AC5" s="1344"/>
      <c r="AD5" s="1344"/>
      <c r="AE5" s="1344"/>
      <c r="AF5" s="22"/>
      <c r="AG5" s="134"/>
      <c r="AH5" s="22"/>
      <c r="AI5" s="22"/>
      <c r="AJ5" s="22"/>
      <c r="AK5" s="22"/>
      <c r="AL5" s="22"/>
      <c r="AM5" s="453"/>
      <c r="AN5" s="22"/>
      <c r="AO5" s="22"/>
      <c r="AP5" s="22"/>
    </row>
    <row r="6" spans="1:107" s="77" customFormat="1" ht="16.5" thickBot="1" x14ac:dyDescent="0.3">
      <c r="A6" s="133"/>
      <c r="B6" s="22"/>
      <c r="C6" s="22"/>
      <c r="D6" s="22"/>
      <c r="E6" s="22"/>
      <c r="F6" s="22"/>
      <c r="G6" s="22"/>
      <c r="H6" s="22"/>
      <c r="I6" s="22"/>
      <c r="J6" s="22"/>
      <c r="K6" s="22"/>
      <c r="L6" s="22"/>
      <c r="M6" s="22"/>
      <c r="N6" s="22"/>
      <c r="O6" s="22"/>
      <c r="P6" s="22"/>
      <c r="Q6" s="22"/>
      <c r="R6" s="22"/>
      <c r="S6" s="22"/>
      <c r="T6" s="160"/>
      <c r="U6" s="160"/>
      <c r="V6" s="160"/>
      <c r="W6" s="160"/>
      <c r="X6" s="1344"/>
      <c r="Y6" s="1344"/>
      <c r="Z6" s="1344"/>
      <c r="AA6" s="1344"/>
      <c r="AB6" s="1344"/>
      <c r="AC6" s="1344"/>
      <c r="AD6" s="1344"/>
      <c r="AE6" s="1344"/>
      <c r="AF6" s="1344"/>
      <c r="AG6" s="1344"/>
      <c r="AH6" s="1344"/>
      <c r="AI6" s="1344"/>
      <c r="AJ6" s="451"/>
      <c r="AK6" s="22"/>
      <c r="AL6" s="22"/>
      <c r="AM6" s="22"/>
      <c r="AN6" s="22"/>
      <c r="AO6" s="22"/>
      <c r="AP6" s="22"/>
    </row>
    <row r="7" spans="1:107" s="77" customFormat="1" ht="24.75" customHeight="1" thickBot="1" x14ac:dyDescent="0.25">
      <c r="A7" s="1341" t="s">
        <v>30</v>
      </c>
      <c r="B7" s="1341" t="s">
        <v>31</v>
      </c>
      <c r="C7" s="1341" t="s">
        <v>255</v>
      </c>
      <c r="D7" s="1347" t="s">
        <v>255</v>
      </c>
      <c r="E7" s="1347"/>
      <c r="F7" s="1347"/>
      <c r="G7" s="1347"/>
      <c r="H7" s="1347"/>
      <c r="I7" s="1347"/>
      <c r="J7" s="1347"/>
      <c r="K7" s="1347"/>
      <c r="L7" s="1347"/>
      <c r="M7" s="1347"/>
      <c r="N7" s="1347"/>
      <c r="O7" s="1347"/>
      <c r="P7" s="1347"/>
      <c r="Q7" s="1341" t="s">
        <v>1121</v>
      </c>
      <c r="R7" s="1341" t="s">
        <v>1122</v>
      </c>
      <c r="S7" s="1341" t="s">
        <v>57</v>
      </c>
      <c r="T7" s="1341" t="s">
        <v>257</v>
      </c>
      <c r="U7" s="1341" t="s">
        <v>256</v>
      </c>
      <c r="V7" s="1341" t="s">
        <v>258</v>
      </c>
      <c r="W7" s="1341" t="s">
        <v>32</v>
      </c>
      <c r="X7" s="1341" t="s">
        <v>49</v>
      </c>
      <c r="Y7" s="1341" t="s">
        <v>35</v>
      </c>
      <c r="Z7" s="1341" t="s">
        <v>8</v>
      </c>
      <c r="AA7" s="1341" t="s">
        <v>33</v>
      </c>
      <c r="AB7" s="1341" t="s">
        <v>50</v>
      </c>
      <c r="AC7" s="1341" t="s">
        <v>151</v>
      </c>
      <c r="AD7" s="1341" t="s">
        <v>5</v>
      </c>
      <c r="AE7" s="1341" t="s">
        <v>37</v>
      </c>
      <c r="AF7" s="1341" t="s">
        <v>36</v>
      </c>
      <c r="AG7" s="1341" t="s">
        <v>38</v>
      </c>
      <c r="AH7" s="1341" t="s">
        <v>1058</v>
      </c>
      <c r="AI7" s="1341" t="s">
        <v>6</v>
      </c>
      <c r="AJ7" s="450" t="s">
        <v>1253</v>
      </c>
      <c r="AK7" s="1341" t="s">
        <v>0</v>
      </c>
      <c r="AL7" s="1341" t="s">
        <v>34</v>
      </c>
      <c r="AM7" s="1341" t="s">
        <v>8</v>
      </c>
      <c r="AN7" s="1341" t="s">
        <v>188</v>
      </c>
      <c r="AO7" s="1341" t="s">
        <v>151</v>
      </c>
      <c r="AP7" s="1341" t="s">
        <v>9</v>
      </c>
      <c r="AQ7" s="1228" t="s">
        <v>190</v>
      </c>
      <c r="AR7" s="1229"/>
      <c r="AS7" s="1229"/>
      <c r="AT7" s="1229"/>
      <c r="AU7" s="1229"/>
      <c r="AV7" s="1229"/>
      <c r="AW7" s="1229"/>
      <c r="AX7" s="1229"/>
      <c r="AY7" s="1229"/>
      <c r="AZ7" s="1230"/>
      <c r="BA7" s="1231" t="s">
        <v>192</v>
      </c>
      <c r="BB7" s="1232"/>
      <c r="BC7" s="1232"/>
      <c r="BD7" s="1232"/>
      <c r="BE7" s="1232"/>
      <c r="BF7" s="1232"/>
      <c r="BG7" s="1232"/>
      <c r="BH7" s="1232"/>
      <c r="BI7" s="1232"/>
      <c r="BJ7" s="1233"/>
      <c r="BK7" s="1228" t="s">
        <v>191</v>
      </c>
      <c r="BL7" s="1229"/>
      <c r="BM7" s="1229"/>
      <c r="BN7" s="1229"/>
      <c r="BO7" s="1229"/>
      <c r="BP7" s="1229"/>
      <c r="BQ7" s="1229"/>
      <c r="BR7" s="1229"/>
      <c r="BS7" s="1229"/>
      <c r="BT7" s="1230"/>
      <c r="BU7" s="1231" t="s">
        <v>193</v>
      </c>
      <c r="BV7" s="1232"/>
      <c r="BW7" s="1232"/>
      <c r="BX7" s="1232"/>
      <c r="BY7" s="1232"/>
      <c r="BZ7" s="1232"/>
      <c r="CA7" s="1232"/>
      <c r="CB7" s="1232"/>
      <c r="CC7" s="1232"/>
      <c r="CD7" s="1233"/>
      <c r="CE7" s="1235" t="s">
        <v>1147</v>
      </c>
      <c r="CF7" s="1236"/>
      <c r="CG7" s="1236"/>
      <c r="CH7" s="1236"/>
      <c r="CI7" s="1236"/>
      <c r="CJ7" s="1236"/>
      <c r="CK7" s="1236"/>
      <c r="CL7" s="1237"/>
    </row>
    <row r="8" spans="1:107" s="161" customFormat="1" ht="39.75" customHeight="1" x14ac:dyDescent="0.2">
      <c r="A8" s="1342"/>
      <c r="B8" s="1342"/>
      <c r="C8" s="1342"/>
      <c r="D8" s="733">
        <v>1</v>
      </c>
      <c r="E8" s="734">
        <v>2</v>
      </c>
      <c r="F8" s="734">
        <v>3</v>
      </c>
      <c r="G8" s="734">
        <v>4</v>
      </c>
      <c r="H8" s="734">
        <v>5</v>
      </c>
      <c r="I8" s="734">
        <v>6</v>
      </c>
      <c r="J8" s="734">
        <v>7</v>
      </c>
      <c r="K8" s="734">
        <v>8</v>
      </c>
      <c r="L8" s="734">
        <v>9</v>
      </c>
      <c r="M8" s="734">
        <v>10</v>
      </c>
      <c r="N8" s="734">
        <v>11</v>
      </c>
      <c r="O8" s="734">
        <v>12</v>
      </c>
      <c r="P8" s="735">
        <v>13</v>
      </c>
      <c r="Q8" s="1342"/>
      <c r="R8" s="1342"/>
      <c r="S8" s="1342"/>
      <c r="T8" s="1342"/>
      <c r="U8" s="1342"/>
      <c r="V8" s="1342"/>
      <c r="W8" s="1342"/>
      <c r="X8" s="1342"/>
      <c r="Y8" s="1342"/>
      <c r="Z8" s="1342"/>
      <c r="AA8" s="1342"/>
      <c r="AB8" s="1342"/>
      <c r="AC8" s="1342"/>
      <c r="AD8" s="1342"/>
      <c r="AE8" s="1342"/>
      <c r="AF8" s="1342"/>
      <c r="AG8" s="1342"/>
      <c r="AH8" s="1342"/>
      <c r="AI8" s="1342"/>
      <c r="AJ8" s="736"/>
      <c r="AK8" s="1342"/>
      <c r="AL8" s="1342"/>
      <c r="AM8" s="1342"/>
      <c r="AN8" s="1342"/>
      <c r="AO8" s="1342"/>
      <c r="AP8" s="1342"/>
      <c r="AQ8" s="140" t="s">
        <v>8</v>
      </c>
      <c r="AR8" s="140" t="s">
        <v>50</v>
      </c>
      <c r="AS8" s="140" t="s">
        <v>151</v>
      </c>
      <c r="AT8" s="140" t="s">
        <v>8</v>
      </c>
      <c r="AU8" s="140" t="s">
        <v>151</v>
      </c>
      <c r="AV8" s="140" t="s">
        <v>7</v>
      </c>
      <c r="AW8" s="140" t="s">
        <v>10</v>
      </c>
      <c r="AX8" s="140" t="s">
        <v>7</v>
      </c>
      <c r="AY8" s="140" t="s">
        <v>10</v>
      </c>
      <c r="AZ8" s="140" t="s">
        <v>189</v>
      </c>
      <c r="BA8" s="137" t="s">
        <v>8</v>
      </c>
      <c r="BB8" s="137" t="s">
        <v>50</v>
      </c>
      <c r="BC8" s="137" t="s">
        <v>151</v>
      </c>
      <c r="BD8" s="137" t="s">
        <v>8</v>
      </c>
      <c r="BE8" s="137" t="s">
        <v>151</v>
      </c>
      <c r="BF8" s="137" t="s">
        <v>7</v>
      </c>
      <c r="BG8" s="137" t="s">
        <v>10</v>
      </c>
      <c r="BH8" s="137" t="s">
        <v>7</v>
      </c>
      <c r="BI8" s="137" t="s">
        <v>10</v>
      </c>
      <c r="BJ8" s="137" t="s">
        <v>189</v>
      </c>
      <c r="BK8" s="140" t="s">
        <v>8</v>
      </c>
      <c r="BL8" s="140" t="s">
        <v>50</v>
      </c>
      <c r="BM8" s="140" t="s">
        <v>151</v>
      </c>
      <c r="BN8" s="140" t="s">
        <v>8</v>
      </c>
      <c r="BO8" s="140" t="s">
        <v>151</v>
      </c>
      <c r="BP8" s="140" t="s">
        <v>7</v>
      </c>
      <c r="BQ8" s="140" t="s">
        <v>10</v>
      </c>
      <c r="BR8" s="140" t="s">
        <v>7</v>
      </c>
      <c r="BS8" s="140" t="s">
        <v>10</v>
      </c>
      <c r="BT8" s="140" t="s">
        <v>189</v>
      </c>
      <c r="BU8" s="137" t="s">
        <v>8</v>
      </c>
      <c r="BV8" s="137" t="s">
        <v>50</v>
      </c>
      <c r="BW8" s="137" t="s">
        <v>151</v>
      </c>
      <c r="BX8" s="137" t="s">
        <v>8</v>
      </c>
      <c r="BY8" s="137" t="s">
        <v>151</v>
      </c>
      <c r="BZ8" s="137" t="s">
        <v>7</v>
      </c>
      <c r="CA8" s="137" t="s">
        <v>10</v>
      </c>
      <c r="CB8" s="137" t="s">
        <v>7</v>
      </c>
      <c r="CC8" s="137" t="s">
        <v>10</v>
      </c>
      <c r="CD8" s="137" t="s">
        <v>189</v>
      </c>
      <c r="CE8" s="141" t="s">
        <v>7</v>
      </c>
      <c r="CF8" s="141" t="s">
        <v>10</v>
      </c>
      <c r="CG8" s="141" t="s">
        <v>7</v>
      </c>
      <c r="CH8" s="141" t="s">
        <v>10</v>
      </c>
      <c r="CI8" s="141" t="s">
        <v>7</v>
      </c>
      <c r="CJ8" s="141" t="s">
        <v>10</v>
      </c>
      <c r="CK8" s="141" t="s">
        <v>7</v>
      </c>
      <c r="CL8" s="141" t="s">
        <v>10</v>
      </c>
      <c r="CR8" s="152">
        <v>1</v>
      </c>
      <c r="CS8" s="152">
        <v>2</v>
      </c>
      <c r="CT8" s="152">
        <v>3</v>
      </c>
      <c r="CU8" s="152">
        <v>4</v>
      </c>
      <c r="CV8" s="152">
        <v>5</v>
      </c>
      <c r="CW8" s="152">
        <v>6</v>
      </c>
      <c r="CX8" s="152">
        <v>7</v>
      </c>
      <c r="CY8" s="152">
        <v>8</v>
      </c>
      <c r="CZ8" s="152">
        <v>9</v>
      </c>
      <c r="DA8" s="152">
        <v>10</v>
      </c>
      <c r="DB8" s="153">
        <v>11</v>
      </c>
      <c r="DC8" s="153">
        <v>12</v>
      </c>
    </row>
    <row r="9" spans="1:107" s="69" customFormat="1" ht="105.75" hidden="1" customHeight="1" x14ac:dyDescent="0.2">
      <c r="A9" s="1020">
        <v>11200</v>
      </c>
      <c r="B9" s="1021" t="s">
        <v>1</v>
      </c>
      <c r="C9" s="1021" t="s">
        <v>336</v>
      </c>
      <c r="D9" s="1021" t="s">
        <v>1017</v>
      </c>
      <c r="E9" s="1021" t="s">
        <v>1017</v>
      </c>
      <c r="F9" s="1021" t="s">
        <v>1017</v>
      </c>
      <c r="G9" s="1021"/>
      <c r="H9" s="1021"/>
      <c r="I9" s="1021"/>
      <c r="J9" s="1021"/>
      <c r="K9" s="1021"/>
      <c r="L9" s="1021"/>
      <c r="M9" s="1021"/>
      <c r="N9" s="1021"/>
      <c r="O9" s="1021"/>
      <c r="P9" s="1021"/>
      <c r="Q9" s="1021" t="s">
        <v>1718</v>
      </c>
      <c r="R9" s="1021" t="s">
        <v>1717</v>
      </c>
      <c r="S9" s="1022" t="s">
        <v>111</v>
      </c>
      <c r="T9" s="1021" t="s">
        <v>94</v>
      </c>
      <c r="U9" s="1021" t="s">
        <v>204</v>
      </c>
      <c r="V9" s="1021" t="s">
        <v>204</v>
      </c>
      <c r="W9" s="1022" t="s">
        <v>112</v>
      </c>
      <c r="X9" s="1021" t="s">
        <v>1420</v>
      </c>
      <c r="Y9" s="1023" t="s">
        <v>434</v>
      </c>
      <c r="Z9" s="1022">
        <v>1</v>
      </c>
      <c r="AA9" s="1022" t="s">
        <v>220</v>
      </c>
      <c r="AB9" s="1021" t="s">
        <v>1419</v>
      </c>
      <c r="AC9" s="1024">
        <f>800000000</f>
        <v>800000000</v>
      </c>
      <c r="AD9" s="1025">
        <v>1</v>
      </c>
      <c r="AE9" s="1021" t="s">
        <v>18</v>
      </c>
      <c r="AF9" s="1021" t="s">
        <v>24</v>
      </c>
      <c r="AG9" s="1021" t="s">
        <v>204</v>
      </c>
      <c r="AH9" s="1021" t="s">
        <v>204</v>
      </c>
      <c r="AI9" s="1021" t="s">
        <v>81</v>
      </c>
      <c r="AJ9" s="1021" t="s">
        <v>1278</v>
      </c>
      <c r="AK9" s="1021" t="s">
        <v>1432</v>
      </c>
      <c r="AL9" s="1021" t="s">
        <v>290</v>
      </c>
      <c r="AM9" s="1022">
        <v>1</v>
      </c>
      <c r="AN9" s="1021" t="str">
        <f>+AB9</f>
        <v xml:space="preserve">Estructurar los anexos técnicos y definir los requisitos para diseñar, desarrollar, implementar  y  dar soporte técnico al nuevo portal web e intranet de la ADRES </v>
      </c>
      <c r="AO9" s="1026">
        <v>0</v>
      </c>
      <c r="AP9" s="1027" t="s">
        <v>46</v>
      </c>
      <c r="AQ9" s="1022">
        <v>0</v>
      </c>
      <c r="AR9" s="1021" t="str">
        <f>+AN9</f>
        <v xml:space="preserve">Estructurar los anexos técnicos y definir los requisitos para diseñar, desarrollar, implementar  y  dar soporte técnico al nuevo portal web e intranet de la ADRES </v>
      </c>
      <c r="AS9" s="1028">
        <v>0</v>
      </c>
      <c r="AT9" s="1022">
        <v>0</v>
      </c>
      <c r="AU9" s="1028">
        <v>0</v>
      </c>
      <c r="AV9" s="1029" t="e">
        <f t="shared" ref="AV9:AV42" si="0">+(AT9/AQ9)</f>
        <v>#DIV/0!</v>
      </c>
      <c r="AW9" s="1029" t="e">
        <f>+(AU9/AS9)</f>
        <v>#DIV/0!</v>
      </c>
      <c r="AX9" s="1029">
        <f t="shared" ref="AX9:AX42" si="1">+(AT9/AM9)</f>
        <v>0</v>
      </c>
      <c r="AY9" s="1029" t="e">
        <f>+(AU9/AO9)</f>
        <v>#DIV/0!</v>
      </c>
      <c r="AZ9" s="1030" t="s">
        <v>1342</v>
      </c>
      <c r="BA9" s="1022">
        <v>0</v>
      </c>
      <c r="BB9" s="1021" t="str">
        <f>+AN9</f>
        <v xml:space="preserve">Estructurar los anexos técnicos y definir los requisitos para diseñar, desarrollar, implementar  y  dar soporte técnico al nuevo portal web e intranet de la ADRES </v>
      </c>
      <c r="BC9" s="1028">
        <v>266666666.66666666</v>
      </c>
      <c r="BD9" s="1023">
        <v>0</v>
      </c>
      <c r="BE9" s="1028">
        <v>0</v>
      </c>
      <c r="BF9" s="1029" t="e">
        <f>+(BD9/BA9)</f>
        <v>#DIV/0!</v>
      </c>
      <c r="BG9" s="1029">
        <f>+(BE9/BC9)</f>
        <v>0</v>
      </c>
      <c r="BH9" s="1029">
        <f>+(BD9+AT9)/AM9</f>
        <v>0</v>
      </c>
      <c r="BI9" s="1029">
        <f>+(BE9+AU9)/800000000</f>
        <v>0</v>
      </c>
      <c r="BJ9" s="1031"/>
      <c r="BK9" s="1022">
        <v>0</v>
      </c>
      <c r="BL9" s="1021" t="str">
        <f>+AN9</f>
        <v xml:space="preserve">Estructurar los anexos técnicos y definir los requisitos para diseñar, desarrollar, implementar  y  dar soporte técnico al nuevo portal web e intranet de la ADRES </v>
      </c>
      <c r="BM9" s="1028">
        <v>266666666.66666666</v>
      </c>
      <c r="BN9" s="1022">
        <v>0</v>
      </c>
      <c r="BO9" s="1028">
        <v>0</v>
      </c>
      <c r="BP9" s="1029" t="e">
        <f>+(BN9/BK9)</f>
        <v>#DIV/0!</v>
      </c>
      <c r="BQ9" s="1029">
        <f>+(BO9/BM9)</f>
        <v>0</v>
      </c>
      <c r="BR9" s="1029">
        <f>+(BD9+AT9+BN9)/AM9</f>
        <v>0</v>
      </c>
      <c r="BS9" s="1029">
        <f>+(BE9+AU9+BO9)/800000000</f>
        <v>0</v>
      </c>
      <c r="BT9" s="1032" t="s">
        <v>1851</v>
      </c>
      <c r="BU9" s="1022">
        <v>1</v>
      </c>
      <c r="BV9" s="1021" t="str">
        <f>+AN9</f>
        <v xml:space="preserve">Estructurar los anexos técnicos y definir los requisitos para diseñar, desarrollar, implementar  y  dar soporte técnico al nuevo portal web e intranet de la ADRES </v>
      </c>
      <c r="BW9" s="1028">
        <v>0</v>
      </c>
      <c r="BX9" s="1022"/>
      <c r="BY9" s="1022"/>
      <c r="BZ9" s="1029">
        <f>+(BX9/BU9)</f>
        <v>0</v>
      </c>
      <c r="CA9" s="1029" t="e">
        <f>+(BY9/BW9)</f>
        <v>#DIV/0!</v>
      </c>
      <c r="CB9" s="1029">
        <f>+(BD9+AT9+BN9+BX9)/AM9</f>
        <v>0</v>
      </c>
      <c r="CC9" s="1029" t="e">
        <f>+(BE9+AU9+BO9+BY9)/AO9</f>
        <v>#DIV/0!</v>
      </c>
      <c r="CD9" s="1029"/>
      <c r="CE9" s="683" t="str">
        <f t="shared" ref="CE9:CE42" si="2">IF(AND(AQ9=0,AT9=0),"No Prog ni Ejec",IF(AQ9=0,CONCATENATE("No Prog, Ejec=  ",AT9),AT9/AQ9))</f>
        <v>No Prog ni Ejec</v>
      </c>
      <c r="CF9" s="683" t="str">
        <f>IF(AND(AS9=0,AU9=0),"No Prog ni Ejec",IF(AS9=0,CONCATENATE("No Prog, Ejec=  ",AU9),AU9/AS9))</f>
        <v>No Prog ni Ejec</v>
      </c>
      <c r="CG9" s="683" t="str">
        <f t="shared" ref="CG9:CG42" si="3">IF(AND(BA9=0,BD9=0),"No Prog ni Ejec",IF(BA9=0,CONCATENATE("No Prog, Ejec=  ",BD9),BD9/BA9))</f>
        <v>No Prog ni Ejec</v>
      </c>
      <c r="CH9" s="683">
        <f>IF(AND(BC9=0,BE9=0),"No Prog ni Ejec",IF(BC9=0,CONCATENATE("No Prog, Ejec=  ",BE9),BE9/BC9))</f>
        <v>0</v>
      </c>
      <c r="CI9" s="683" t="str">
        <f t="shared" ref="CI9:CI42" si="4">IF(AND(BK9=0,BN9=0),"No Prog ni Ejec",IF(BK9=0,CONCATENATE("No Prog, Ejec=  ",BN9),BN9/BK9))</f>
        <v>No Prog ni Ejec</v>
      </c>
      <c r="CJ9" s="683">
        <f>IF(AND(BM9=0,BO9=0),"No Prog ni Ejec",IF(BM9=0,CONCATENATE("No Prog, Ejec=  ",BO9),BO9/BM9))</f>
        <v>0</v>
      </c>
      <c r="CK9" s="683">
        <f t="shared" ref="CK9:CK42" si="5">IF(AND(BU9=0,BX9=0),"No Prog ni Ejec",IF(BU9=0,CONCATENATE("No Prog, Ejec=  ",BX9),BX9/BU9))</f>
        <v>0</v>
      </c>
      <c r="CL9" s="740" t="str">
        <f>IF(AND(BW9=0,BY9=0),"No Prog ni Ejec",IF(BW9=0,CONCATENATE("No Prog, Ejec=  ",BY9),BY9/BW9))</f>
        <v>No Prog ni Ejec</v>
      </c>
      <c r="CM9" s="127">
        <f>+AC9-AS9-BC9-BM9-BW9</f>
        <v>266666666.66666672</v>
      </c>
      <c r="CW9" s="121">
        <v>6</v>
      </c>
    </row>
    <row r="10" spans="1:107" s="69" customFormat="1" ht="103.5" customHeight="1" x14ac:dyDescent="0.2">
      <c r="A10" s="813">
        <v>11200</v>
      </c>
      <c r="B10" s="806" t="s">
        <v>1</v>
      </c>
      <c r="C10" s="806" t="s">
        <v>330</v>
      </c>
      <c r="D10" s="806"/>
      <c r="E10" s="806" t="s">
        <v>1017</v>
      </c>
      <c r="F10" s="806" t="s">
        <v>1017</v>
      </c>
      <c r="G10" s="806"/>
      <c r="H10" s="806"/>
      <c r="I10" s="806"/>
      <c r="J10" s="806"/>
      <c r="K10" s="806"/>
      <c r="L10" s="806"/>
      <c r="M10" s="806"/>
      <c r="N10" s="806"/>
      <c r="O10" s="806"/>
      <c r="P10" s="806"/>
      <c r="Q10" s="806" t="s">
        <v>204</v>
      </c>
      <c r="R10" s="806" t="s">
        <v>204</v>
      </c>
      <c r="S10" s="1210" t="s">
        <v>111</v>
      </c>
      <c r="T10" s="806" t="s">
        <v>94</v>
      </c>
      <c r="U10" s="806" t="s">
        <v>204</v>
      </c>
      <c r="V10" s="806" t="s">
        <v>204</v>
      </c>
      <c r="W10" s="814" t="s">
        <v>656</v>
      </c>
      <c r="X10" s="806" t="s">
        <v>1424</v>
      </c>
      <c r="Y10" s="817" t="s">
        <v>434</v>
      </c>
      <c r="Z10" s="814">
        <v>12</v>
      </c>
      <c r="AA10" s="1210" t="s">
        <v>654</v>
      </c>
      <c r="AB10" s="1201" t="s">
        <v>1423</v>
      </c>
      <c r="AC10" s="1310">
        <v>53164884</v>
      </c>
      <c r="AD10" s="1206">
        <v>1</v>
      </c>
      <c r="AE10" s="1201" t="s">
        <v>18</v>
      </c>
      <c r="AF10" s="1201" t="s">
        <v>24</v>
      </c>
      <c r="AG10" s="1201" t="s">
        <v>204</v>
      </c>
      <c r="AH10" s="1201" t="s">
        <v>204</v>
      </c>
      <c r="AI10" s="1201" t="s">
        <v>1049</v>
      </c>
      <c r="AJ10" s="1327" t="s">
        <v>1266</v>
      </c>
      <c r="AK10" s="806" t="s">
        <v>1425</v>
      </c>
      <c r="AL10" s="1201" t="s">
        <v>204</v>
      </c>
      <c r="AM10" s="67">
        <v>12</v>
      </c>
      <c r="AN10" s="1201" t="str">
        <f>+AB10</f>
        <v>Realizar el seguimiento de las publicaciones en redes sociales y diferentes medios de comunicación asociados a la ADRES y referenciar la información en los formatos dispuestos por la dirección general.</v>
      </c>
      <c r="AO10" s="1207">
        <f>+AC10</f>
        <v>53164884</v>
      </c>
      <c r="AP10" s="836" t="s">
        <v>46</v>
      </c>
      <c r="AQ10" s="67">
        <v>3</v>
      </c>
      <c r="AR10" s="1201" t="str">
        <f>+AN10</f>
        <v>Realizar el seguimiento de las publicaciones en redes sociales y diferentes medios de comunicación asociados a la ADRES y referenciar la información en los formatos dispuestos por la dirección general.</v>
      </c>
      <c r="AS10" s="1205">
        <f>+AO10/4</f>
        <v>13291221</v>
      </c>
      <c r="AT10" s="460">
        <v>3</v>
      </c>
      <c r="AU10" s="1205">
        <v>9303854</v>
      </c>
      <c r="AV10" s="807">
        <f t="shared" si="0"/>
        <v>1</v>
      </c>
      <c r="AW10" s="1202">
        <f>+(AU10/AS10)</f>
        <v>0.69999994733365734</v>
      </c>
      <c r="AX10" s="807">
        <f t="shared" si="1"/>
        <v>0.25</v>
      </c>
      <c r="AY10" s="1202">
        <f>+(AU10/AO10)</f>
        <v>0.17499998683341433</v>
      </c>
      <c r="AZ10" s="465" t="s">
        <v>1343</v>
      </c>
      <c r="BA10" s="67">
        <v>3</v>
      </c>
      <c r="BB10" s="1201" t="str">
        <f>+AN10</f>
        <v>Realizar el seguimiento de las publicaciones en redes sociales y diferentes medios de comunicación asociados a la ADRES y referenciar la información en los formatos dispuestos por la dirección general.</v>
      </c>
      <c r="BC10" s="1205">
        <f>+AO10/4</f>
        <v>13291221</v>
      </c>
      <c r="BD10" s="823">
        <v>3</v>
      </c>
      <c r="BE10" s="787">
        <v>13291221</v>
      </c>
      <c r="BF10" s="807">
        <f>+(BD10/BA10)</f>
        <v>1</v>
      </c>
      <c r="BG10" s="1202">
        <f>+(BE10/BC10)</f>
        <v>1</v>
      </c>
      <c r="BH10" s="807">
        <f>+(BD10+AT10)/AM10</f>
        <v>0.5</v>
      </c>
      <c r="BI10" s="1202">
        <f>+(BE10+AU10)/AO10</f>
        <v>0.42499998683341433</v>
      </c>
      <c r="BJ10" s="809"/>
      <c r="BK10" s="67">
        <v>3</v>
      </c>
      <c r="BL10" s="1201" t="str">
        <f>+AN10</f>
        <v>Realizar el seguimiento de las publicaciones en redes sociales y diferentes medios de comunicación asociados a la ADRES y referenciar la información en los formatos dispuestos por la dirección general.</v>
      </c>
      <c r="BM10" s="1205">
        <f>+AO10/4</f>
        <v>13291221</v>
      </c>
      <c r="BN10" s="814">
        <v>3</v>
      </c>
      <c r="BO10" s="1205">
        <v>13291221</v>
      </c>
      <c r="BP10" s="807">
        <f>+(BN10/BK10)</f>
        <v>1</v>
      </c>
      <c r="BQ10" s="1202">
        <f>+(BO10/BM10)</f>
        <v>1</v>
      </c>
      <c r="BR10" s="807">
        <f>+(BD10+AT10+BN10)/AM10</f>
        <v>0.75</v>
      </c>
      <c r="BS10" s="1202">
        <f>+(BE10+AU10+BO10)/AO10</f>
        <v>0.67499998683341433</v>
      </c>
      <c r="BT10" s="937" t="s">
        <v>1852</v>
      </c>
      <c r="BU10" s="67">
        <v>3</v>
      </c>
      <c r="BV10" s="1201" t="str">
        <f>+AN10</f>
        <v>Realizar el seguimiento de las publicaciones en redes sociales y diferentes medios de comunicación asociados a la ADRES y referenciar la información en los formatos dispuestos por la dirección general.</v>
      </c>
      <c r="BW10" s="1205">
        <f>+AO10/4</f>
        <v>13291221</v>
      </c>
      <c r="BX10" s="814">
        <v>3</v>
      </c>
      <c r="BY10" s="1205">
        <v>13291221</v>
      </c>
      <c r="BZ10" s="807">
        <f>+(BX10/BU10)</f>
        <v>1</v>
      </c>
      <c r="CA10" s="1202">
        <f>+(BY10/BW10)</f>
        <v>1</v>
      </c>
      <c r="CB10" s="807">
        <f>+(BD10+AT10+BN10+BX10)/AM10</f>
        <v>1</v>
      </c>
      <c r="CC10" s="1202">
        <f>+(BE10+AU10+BO10+BY10)/AO10</f>
        <v>0.92499998683341433</v>
      </c>
      <c r="CD10" s="1138" t="s">
        <v>2083</v>
      </c>
      <c r="CE10" s="631">
        <f t="shared" si="2"/>
        <v>1</v>
      </c>
      <c r="CF10" s="1263">
        <f>IF(AND(AS10=0,AU10=0),"No Prog ni Ejec",IF(AS10=0,CONCATENATE("No Prog, Ejec=  ",AU10),AU10/AS10))</f>
        <v>0.69999994733365734</v>
      </c>
      <c r="CG10" s="631">
        <f t="shared" si="3"/>
        <v>1</v>
      </c>
      <c r="CH10" s="1263">
        <f>IF(AND(BC10=0,BE10=0),"No Prog ni Ejec",IF(BC10=0,CONCATENATE("No Prog, Ejec=  ",BE10),BE10/BC10))</f>
        <v>1</v>
      </c>
      <c r="CI10" s="631">
        <f t="shared" si="4"/>
        <v>1</v>
      </c>
      <c r="CJ10" s="1263">
        <f>IF(AND(BM10=0,BO10=0),"No Prog ni Ejec",IF(BM10=0,CONCATENATE("No Prog, Ejec=  ",BO10),BO10/BM10))</f>
        <v>1</v>
      </c>
      <c r="CK10" s="631">
        <f t="shared" si="5"/>
        <v>1</v>
      </c>
      <c r="CL10" s="1262">
        <f>IF(AND(BW10=0,BY10=0),"No Prog ni Ejec",IF(BW10=0,CONCATENATE("No Prog, Ejec=  ",BY10),BY10/BW10))</f>
        <v>1</v>
      </c>
      <c r="CM10" s="127">
        <f t="shared" ref="CM10:CM71" si="6">+AC10-AS10-BC10-BM10-BW10</f>
        <v>0</v>
      </c>
      <c r="CW10" s="121">
        <v>6</v>
      </c>
    </row>
    <row r="11" spans="1:107" s="570" customFormat="1" ht="63.75" hidden="1" x14ac:dyDescent="0.2">
      <c r="A11" s="1345">
        <v>11200</v>
      </c>
      <c r="B11" s="1337" t="s">
        <v>1</v>
      </c>
      <c r="C11" s="1337" t="s">
        <v>330</v>
      </c>
      <c r="D11" s="806"/>
      <c r="E11" s="806" t="s">
        <v>1017</v>
      </c>
      <c r="F11" s="806" t="s">
        <v>1017</v>
      </c>
      <c r="G11" s="806"/>
      <c r="H11" s="806"/>
      <c r="I11" s="806"/>
      <c r="J11" s="806"/>
      <c r="K11" s="806"/>
      <c r="L11" s="806"/>
      <c r="M11" s="806"/>
      <c r="N11" s="806"/>
      <c r="O11" s="806"/>
      <c r="P11" s="806"/>
      <c r="Q11" s="806" t="s">
        <v>204</v>
      </c>
      <c r="R11" s="806" t="s">
        <v>204</v>
      </c>
      <c r="S11" s="1210"/>
      <c r="T11" s="1201" t="s">
        <v>94</v>
      </c>
      <c r="U11" s="1201" t="s">
        <v>204</v>
      </c>
      <c r="V11" s="1201" t="s">
        <v>204</v>
      </c>
      <c r="W11" s="1033" t="s">
        <v>917</v>
      </c>
      <c r="X11" s="1348" t="s">
        <v>435</v>
      </c>
      <c r="Y11" s="1034" t="s">
        <v>51</v>
      </c>
      <c r="Z11" s="1035">
        <v>1</v>
      </c>
      <c r="AA11" s="1346"/>
      <c r="AB11" s="1337"/>
      <c r="AC11" s="1354"/>
      <c r="AD11" s="1206"/>
      <c r="AE11" s="1201"/>
      <c r="AF11" s="1201"/>
      <c r="AG11" s="1201"/>
      <c r="AH11" s="1201"/>
      <c r="AI11" s="1201"/>
      <c r="AJ11" s="1327"/>
      <c r="AK11" s="829" t="s">
        <v>237</v>
      </c>
      <c r="AL11" s="1201"/>
      <c r="AM11" s="571">
        <v>1</v>
      </c>
      <c r="AN11" s="1337"/>
      <c r="AO11" s="1353"/>
      <c r="AP11" s="836" t="s">
        <v>46</v>
      </c>
      <c r="AQ11" s="571">
        <v>0.25</v>
      </c>
      <c r="AR11" s="1337"/>
      <c r="AS11" s="1349"/>
      <c r="AT11" s="572">
        <v>0.16063675832127353</v>
      </c>
      <c r="AU11" s="1349"/>
      <c r="AV11" s="832">
        <f t="shared" si="0"/>
        <v>0.6425470332850941</v>
      </c>
      <c r="AW11" s="1343"/>
      <c r="AX11" s="832">
        <f t="shared" si="1"/>
        <v>0.16063675832127353</v>
      </c>
      <c r="AY11" s="1343"/>
      <c r="AZ11" s="573" t="s">
        <v>1344</v>
      </c>
      <c r="BA11" s="571">
        <v>0.25</v>
      </c>
      <c r="BB11" s="1337"/>
      <c r="BC11" s="1349"/>
      <c r="BD11" s="564"/>
      <c r="BE11" s="835"/>
      <c r="BF11" s="832">
        <f>+(BD11/BA11)</f>
        <v>0</v>
      </c>
      <c r="BG11" s="1343"/>
      <c r="BH11" s="832">
        <f>+(BD11+AT11)/AM11</f>
        <v>0.16063675832127353</v>
      </c>
      <c r="BI11" s="1343"/>
      <c r="BJ11" s="675"/>
      <c r="BK11" s="571">
        <v>0.25</v>
      </c>
      <c r="BL11" s="1337"/>
      <c r="BM11" s="1349"/>
      <c r="BN11" s="834"/>
      <c r="BO11" s="1349"/>
      <c r="BP11" s="832">
        <f>+(BN11/BK11)</f>
        <v>0</v>
      </c>
      <c r="BQ11" s="1343"/>
      <c r="BR11" s="832">
        <f>+(BD11+AT11+BN11)/AM11</f>
        <v>0.16063675832127353</v>
      </c>
      <c r="BS11" s="1343"/>
      <c r="BT11" s="731"/>
      <c r="BU11" s="571">
        <v>0.25</v>
      </c>
      <c r="BV11" s="1337"/>
      <c r="BW11" s="1349"/>
      <c r="BX11" s="834"/>
      <c r="BY11" s="1349"/>
      <c r="BZ11" s="839">
        <f>+(BX11/BU11)</f>
        <v>0</v>
      </c>
      <c r="CA11" s="1343"/>
      <c r="CB11" s="839">
        <f>+(BD11+AT11+BN11+BX11)/AM11</f>
        <v>0.16063675832127353</v>
      </c>
      <c r="CC11" s="1343"/>
      <c r="CD11" s="839"/>
      <c r="CE11" s="633">
        <f t="shared" si="2"/>
        <v>0.6425470332850941</v>
      </c>
      <c r="CF11" s="1350"/>
      <c r="CG11" s="633">
        <f t="shared" si="3"/>
        <v>0</v>
      </c>
      <c r="CH11" s="1350"/>
      <c r="CI11" s="633">
        <f t="shared" si="4"/>
        <v>0</v>
      </c>
      <c r="CJ11" s="1350"/>
      <c r="CK11" s="633">
        <f t="shared" si="5"/>
        <v>0</v>
      </c>
      <c r="CL11" s="1362"/>
      <c r="CM11" s="569">
        <f t="shared" si="6"/>
        <v>0</v>
      </c>
      <c r="CR11" s="69"/>
      <c r="CS11" s="69"/>
      <c r="CT11" s="69"/>
      <c r="CU11" s="69"/>
      <c r="CV11" s="69"/>
      <c r="CW11" s="121">
        <v>6</v>
      </c>
      <c r="CX11" s="69"/>
      <c r="CY11" s="69"/>
      <c r="CZ11" s="69"/>
      <c r="DA11" s="69"/>
      <c r="DB11" s="69"/>
      <c r="DC11" s="69"/>
    </row>
    <row r="12" spans="1:107" s="570" customFormat="1" ht="51" hidden="1" x14ac:dyDescent="0.2">
      <c r="A12" s="1209"/>
      <c r="B12" s="1201"/>
      <c r="C12" s="1201"/>
      <c r="D12" s="623"/>
      <c r="E12" s="623" t="s">
        <v>1017</v>
      </c>
      <c r="F12" s="623" t="s">
        <v>1017</v>
      </c>
      <c r="G12" s="623"/>
      <c r="H12" s="623"/>
      <c r="I12" s="623"/>
      <c r="J12" s="623"/>
      <c r="K12" s="623"/>
      <c r="L12" s="623"/>
      <c r="M12" s="623"/>
      <c r="N12" s="623"/>
      <c r="O12" s="623"/>
      <c r="P12" s="623"/>
      <c r="Q12" s="623" t="s">
        <v>204</v>
      </c>
      <c r="R12" s="623" t="s">
        <v>204</v>
      </c>
      <c r="S12" s="1210"/>
      <c r="T12" s="1201"/>
      <c r="U12" s="1201"/>
      <c r="V12" s="1201"/>
      <c r="W12" s="628" t="s">
        <v>918</v>
      </c>
      <c r="X12" s="1348"/>
      <c r="Y12" s="564" t="s">
        <v>51</v>
      </c>
      <c r="Z12" s="571">
        <v>0.12</v>
      </c>
      <c r="AA12" s="1210"/>
      <c r="AB12" s="1352"/>
      <c r="AC12" s="1310"/>
      <c r="AD12" s="1206"/>
      <c r="AE12" s="1201"/>
      <c r="AF12" s="1201"/>
      <c r="AG12" s="1201"/>
      <c r="AH12" s="1201"/>
      <c r="AI12" s="1201"/>
      <c r="AJ12" s="1327"/>
      <c r="AK12" s="623" t="s">
        <v>327</v>
      </c>
      <c r="AL12" s="1201"/>
      <c r="AM12" s="571">
        <v>0.12</v>
      </c>
      <c r="AN12" s="1201"/>
      <c r="AO12" s="1207"/>
      <c r="AP12" s="644" t="s">
        <v>46</v>
      </c>
      <c r="AQ12" s="571">
        <v>0.03</v>
      </c>
      <c r="AR12" s="1201"/>
      <c r="AS12" s="1205"/>
      <c r="AT12" s="628">
        <v>0</v>
      </c>
      <c r="AU12" s="1205"/>
      <c r="AV12" s="626">
        <f t="shared" si="0"/>
        <v>0</v>
      </c>
      <c r="AW12" s="1202"/>
      <c r="AX12" s="626">
        <f t="shared" si="1"/>
        <v>0</v>
      </c>
      <c r="AY12" s="1202"/>
      <c r="AZ12" s="573" t="s">
        <v>1342</v>
      </c>
      <c r="BA12" s="571">
        <v>0.03</v>
      </c>
      <c r="BB12" s="1201"/>
      <c r="BC12" s="1205"/>
      <c r="BD12" s="564"/>
      <c r="BE12" s="630"/>
      <c r="BF12" s="626">
        <f>+(BD12/BA12)</f>
        <v>0</v>
      </c>
      <c r="BG12" s="1202"/>
      <c r="BH12" s="626">
        <f>+(BD12+AT12)/AM12</f>
        <v>0</v>
      </c>
      <c r="BI12" s="1202"/>
      <c r="BJ12" s="675"/>
      <c r="BK12" s="571">
        <v>0.03</v>
      </c>
      <c r="BL12" s="1201"/>
      <c r="BM12" s="1205"/>
      <c r="BN12" s="628"/>
      <c r="BO12" s="1210"/>
      <c r="BP12" s="665">
        <f>+(BN12/BK12)</f>
        <v>0</v>
      </c>
      <c r="BQ12" s="1202"/>
      <c r="BR12" s="665">
        <f>+(BD12+AT12+BN12)/AM12</f>
        <v>0</v>
      </c>
      <c r="BS12" s="1202"/>
      <c r="BT12" s="626"/>
      <c r="BU12" s="571">
        <v>0.03</v>
      </c>
      <c r="BV12" s="1201"/>
      <c r="BW12" s="1205"/>
      <c r="BX12" s="628"/>
      <c r="BY12" s="1210"/>
      <c r="BZ12" s="666">
        <f>+(BX12/BU12)</f>
        <v>0</v>
      </c>
      <c r="CA12" s="1202"/>
      <c r="CB12" s="666">
        <f>+(BD12+AT12+BN12+BX12)/AM12</f>
        <v>0</v>
      </c>
      <c r="CC12" s="1202"/>
      <c r="CD12" s="638"/>
      <c r="CE12" s="633">
        <f t="shared" si="2"/>
        <v>0</v>
      </c>
      <c r="CF12" s="1263"/>
      <c r="CG12" s="633">
        <f t="shared" si="3"/>
        <v>0</v>
      </c>
      <c r="CH12" s="1263"/>
      <c r="CI12" s="633">
        <f t="shared" si="4"/>
        <v>0</v>
      </c>
      <c r="CJ12" s="1263"/>
      <c r="CK12" s="633">
        <f t="shared" si="5"/>
        <v>0</v>
      </c>
      <c r="CL12" s="1262"/>
      <c r="CM12" s="569">
        <f t="shared" si="6"/>
        <v>0</v>
      </c>
    </row>
    <row r="13" spans="1:107" s="570" customFormat="1" ht="38.25" hidden="1" x14ac:dyDescent="0.2">
      <c r="A13" s="1209"/>
      <c r="B13" s="1201"/>
      <c r="C13" s="1201"/>
      <c r="D13" s="623"/>
      <c r="E13" s="623" t="s">
        <v>1017</v>
      </c>
      <c r="F13" s="623" t="s">
        <v>1017</v>
      </c>
      <c r="G13" s="623"/>
      <c r="H13" s="623"/>
      <c r="I13" s="623"/>
      <c r="J13" s="623"/>
      <c r="K13" s="623"/>
      <c r="L13" s="623"/>
      <c r="M13" s="623"/>
      <c r="N13" s="623"/>
      <c r="O13" s="623"/>
      <c r="P13" s="623"/>
      <c r="Q13" s="623" t="s">
        <v>204</v>
      </c>
      <c r="R13" s="623" t="s">
        <v>204</v>
      </c>
      <c r="S13" s="1210"/>
      <c r="T13" s="1201"/>
      <c r="U13" s="1201"/>
      <c r="V13" s="1201"/>
      <c r="W13" s="628" t="s">
        <v>919</v>
      </c>
      <c r="X13" s="1348"/>
      <c r="Y13" s="564" t="s">
        <v>390</v>
      </c>
      <c r="Z13" s="581">
        <v>12</v>
      </c>
      <c r="AA13" s="1210"/>
      <c r="AB13" s="1352"/>
      <c r="AC13" s="1310"/>
      <c r="AD13" s="1206"/>
      <c r="AE13" s="1201"/>
      <c r="AF13" s="1201"/>
      <c r="AG13" s="1201"/>
      <c r="AH13" s="1201"/>
      <c r="AI13" s="1201"/>
      <c r="AJ13" s="1327"/>
      <c r="AK13" s="623" t="s">
        <v>326</v>
      </c>
      <c r="AL13" s="1201"/>
      <c r="AM13" s="581">
        <v>12</v>
      </c>
      <c r="AN13" s="1201"/>
      <c r="AO13" s="1207"/>
      <c r="AP13" s="644" t="s">
        <v>46</v>
      </c>
      <c r="AQ13" s="581">
        <v>3</v>
      </c>
      <c r="AR13" s="1201"/>
      <c r="AS13" s="1205"/>
      <c r="AT13" s="628">
        <v>0</v>
      </c>
      <c r="AU13" s="1205"/>
      <c r="AV13" s="626">
        <f t="shared" si="0"/>
        <v>0</v>
      </c>
      <c r="AW13" s="1202"/>
      <c r="AX13" s="626">
        <f t="shared" si="1"/>
        <v>0</v>
      </c>
      <c r="AY13" s="1202"/>
      <c r="AZ13" s="573" t="s">
        <v>1342</v>
      </c>
      <c r="BA13" s="581">
        <v>3</v>
      </c>
      <c r="BB13" s="1201"/>
      <c r="BC13" s="1205"/>
      <c r="BD13" s="564"/>
      <c r="BE13" s="630"/>
      <c r="BF13" s="626">
        <f>+(BD13/BA13)</f>
        <v>0</v>
      </c>
      <c r="BG13" s="1202"/>
      <c r="BH13" s="626">
        <f>+(BD13+AT13)/AM13</f>
        <v>0</v>
      </c>
      <c r="BI13" s="1202"/>
      <c r="BJ13" s="675"/>
      <c r="BK13" s="581">
        <v>3</v>
      </c>
      <c r="BL13" s="1201"/>
      <c r="BM13" s="1205"/>
      <c r="BN13" s="628"/>
      <c r="BO13" s="1210"/>
      <c r="BP13" s="665">
        <f>+(BN13/BK13)</f>
        <v>0</v>
      </c>
      <c r="BQ13" s="1202"/>
      <c r="BR13" s="665">
        <f>+(BD13+AT13+BN13)/AM13</f>
        <v>0</v>
      </c>
      <c r="BS13" s="1202"/>
      <c r="BT13" s="626"/>
      <c r="BU13" s="581">
        <v>3</v>
      </c>
      <c r="BV13" s="1201"/>
      <c r="BW13" s="1205"/>
      <c r="BX13" s="628"/>
      <c r="BY13" s="1210"/>
      <c r="BZ13" s="666">
        <f>+(BX13/BU13)</f>
        <v>0</v>
      </c>
      <c r="CA13" s="1202"/>
      <c r="CB13" s="666">
        <f>+(BD13+AT13+BN13+BX13)/AM13</f>
        <v>0</v>
      </c>
      <c r="CC13" s="1202"/>
      <c r="CD13" s="638"/>
      <c r="CE13" s="633">
        <f t="shared" si="2"/>
        <v>0</v>
      </c>
      <c r="CF13" s="1263"/>
      <c r="CG13" s="633">
        <f t="shared" si="3"/>
        <v>0</v>
      </c>
      <c r="CH13" s="1263"/>
      <c r="CI13" s="633">
        <f t="shared" si="4"/>
        <v>0</v>
      </c>
      <c r="CJ13" s="1263"/>
      <c r="CK13" s="633">
        <f t="shared" si="5"/>
        <v>0</v>
      </c>
      <c r="CL13" s="1262"/>
      <c r="CM13" s="569">
        <f t="shared" si="6"/>
        <v>0</v>
      </c>
    </row>
    <row r="14" spans="1:107" s="69" customFormat="1" ht="107.25" customHeight="1" x14ac:dyDescent="0.2">
      <c r="A14" s="813">
        <v>11200</v>
      </c>
      <c r="B14" s="806" t="s">
        <v>1</v>
      </c>
      <c r="C14" s="806" t="s">
        <v>336</v>
      </c>
      <c r="D14" s="806" t="s">
        <v>1017</v>
      </c>
      <c r="E14" s="806"/>
      <c r="F14" s="806" t="s">
        <v>1017</v>
      </c>
      <c r="G14" s="806"/>
      <c r="H14" s="806"/>
      <c r="I14" s="806"/>
      <c r="J14" s="806"/>
      <c r="K14" s="806"/>
      <c r="L14" s="806"/>
      <c r="M14" s="806"/>
      <c r="N14" s="806"/>
      <c r="O14" s="806"/>
      <c r="P14" s="806"/>
      <c r="Q14" s="806" t="s">
        <v>1125</v>
      </c>
      <c r="R14" s="806" t="s">
        <v>1127</v>
      </c>
      <c r="S14" s="814" t="s">
        <v>111</v>
      </c>
      <c r="T14" s="806" t="s">
        <v>94</v>
      </c>
      <c r="U14" s="806" t="s">
        <v>204</v>
      </c>
      <c r="V14" s="806" t="s">
        <v>204</v>
      </c>
      <c r="W14" s="814" t="s">
        <v>658</v>
      </c>
      <c r="X14" s="806" t="s">
        <v>661</v>
      </c>
      <c r="Y14" s="817" t="s">
        <v>390</v>
      </c>
      <c r="Z14" s="66">
        <v>1</v>
      </c>
      <c r="AA14" s="814" t="s">
        <v>657</v>
      </c>
      <c r="AB14" s="806" t="s">
        <v>659</v>
      </c>
      <c r="AC14" s="826">
        <v>11000000</v>
      </c>
      <c r="AD14" s="811">
        <v>1</v>
      </c>
      <c r="AE14" s="806" t="s">
        <v>18</v>
      </c>
      <c r="AF14" s="806" t="s">
        <v>24</v>
      </c>
      <c r="AG14" s="806" t="s">
        <v>628</v>
      </c>
      <c r="AH14" s="806" t="s">
        <v>630</v>
      </c>
      <c r="AI14" s="806" t="s">
        <v>1049</v>
      </c>
      <c r="AJ14" s="806" t="s">
        <v>1266</v>
      </c>
      <c r="AK14" s="806" t="s">
        <v>1603</v>
      </c>
      <c r="AL14" s="806" t="s">
        <v>40</v>
      </c>
      <c r="AM14" s="66">
        <v>1</v>
      </c>
      <c r="AN14" s="806" t="str">
        <f t="shared" ref="AN14:AN24" si="7">+AB14</f>
        <v>Realizar piezas audiovisuales para la audiencia pública de rendición de cuentas de la ADRES, así como su cubrimiento y transmisión de video en línea</v>
      </c>
      <c r="AO14" s="812">
        <f t="shared" ref="AO14:AO26" si="8">+AC14</f>
        <v>11000000</v>
      </c>
      <c r="AP14" s="836" t="s">
        <v>46</v>
      </c>
      <c r="AQ14" s="66">
        <v>0</v>
      </c>
      <c r="AR14" s="806" t="str">
        <f t="shared" ref="AR14:AR26" si="9">+AN14</f>
        <v>Realizar piezas audiovisuales para la audiencia pública de rendición de cuentas de la ADRES, así como su cubrimiento y transmisión de video en línea</v>
      </c>
      <c r="AS14" s="810">
        <v>0</v>
      </c>
      <c r="AT14" s="466">
        <v>0</v>
      </c>
      <c r="AU14" s="840">
        <v>0</v>
      </c>
      <c r="AV14" s="807" t="e">
        <f t="shared" si="0"/>
        <v>#DIV/0!</v>
      </c>
      <c r="AW14" s="807" t="e">
        <f t="shared" ref="AW14:AW26" si="10">+(AU14/AS14)</f>
        <v>#DIV/0!</v>
      </c>
      <c r="AX14" s="807">
        <f t="shared" si="1"/>
        <v>0</v>
      </c>
      <c r="AY14" s="807">
        <f t="shared" ref="AY14:AY26" si="11">+(AU14/AO14)</f>
        <v>0</v>
      </c>
      <c r="AZ14" s="465" t="s">
        <v>1342</v>
      </c>
      <c r="BA14" s="66">
        <v>0</v>
      </c>
      <c r="BB14" s="806" t="str">
        <f t="shared" ref="BB14:BB26" si="12">+AN14</f>
        <v>Realizar piezas audiovisuales para la audiencia pública de rendición de cuentas de la ADRES, así como su cubrimiento y transmisión de video en línea</v>
      </c>
      <c r="BC14" s="810">
        <v>0</v>
      </c>
      <c r="BD14" s="817">
        <v>0</v>
      </c>
      <c r="BE14" s="810">
        <v>0</v>
      </c>
      <c r="BF14" s="807" t="e">
        <f t="shared" ref="BF14:BF28" si="13">+(BD14/BA14)</f>
        <v>#DIV/0!</v>
      </c>
      <c r="BG14" s="807" t="e">
        <f t="shared" ref="BG14:BG26" si="14">+(BE14/BC14)</f>
        <v>#DIV/0!</v>
      </c>
      <c r="BH14" s="807">
        <f t="shared" ref="BH14:BH28" si="15">+(BD14+AT14)/AM14</f>
        <v>0</v>
      </c>
      <c r="BI14" s="807">
        <f t="shared" ref="BI14:BI26" si="16">+(BE14+AU14)/AO14</f>
        <v>0</v>
      </c>
      <c r="BJ14" s="809" t="s">
        <v>1650</v>
      </c>
      <c r="BK14" s="66">
        <v>1</v>
      </c>
      <c r="BL14" s="806" t="str">
        <f>+AN14</f>
        <v>Realizar piezas audiovisuales para la audiencia pública de rendición de cuentas de la ADRES, así como su cubrimiento y transmisión de video en línea</v>
      </c>
      <c r="BM14" s="810">
        <f>+AO14</f>
        <v>11000000</v>
      </c>
      <c r="BN14" s="936">
        <v>1</v>
      </c>
      <c r="BO14" s="935">
        <v>10500000</v>
      </c>
      <c r="BP14" s="807">
        <f t="shared" ref="BP14:BP29" si="17">+(BN14/BK14)</f>
        <v>1</v>
      </c>
      <c r="BQ14" s="807">
        <f t="shared" ref="BQ14:BQ26" si="18">+(BO14/BM14)</f>
        <v>0.95454545454545459</v>
      </c>
      <c r="BR14" s="807">
        <f t="shared" ref="BR14:BR29" si="19">+(BD14+AT14+BN14)/AM14</f>
        <v>1</v>
      </c>
      <c r="BS14" s="807">
        <f t="shared" ref="BS14:BS26" si="20">+(BE14+AU14+BO14)/AO14</f>
        <v>0.95454545454545459</v>
      </c>
      <c r="BT14" s="937" t="s">
        <v>1853</v>
      </c>
      <c r="BU14" s="66">
        <v>0</v>
      </c>
      <c r="BV14" s="806" t="str">
        <f t="shared" ref="BV14:BV26" si="21">+AN14</f>
        <v>Realizar piezas audiovisuales para la audiencia pública de rendición de cuentas de la ADRES, así como su cubrimiento y transmisión de video en línea</v>
      </c>
      <c r="BW14" s="810">
        <v>0</v>
      </c>
      <c r="BX14" s="1141">
        <v>0</v>
      </c>
      <c r="BY14" s="1140">
        <v>0</v>
      </c>
      <c r="BZ14" s="805" t="e">
        <f t="shared" ref="BZ14:BZ30" si="22">+(BX14/BU14)</f>
        <v>#DIV/0!</v>
      </c>
      <c r="CA14" s="805" t="e">
        <f t="shared" ref="CA14:CA26" si="23">+(BY14/BW14)</f>
        <v>#DIV/0!</v>
      </c>
      <c r="CB14" s="805">
        <f t="shared" ref="CB14:CB30" si="24">+(BD14+AT14+BN14+BX14)/AM14</f>
        <v>1</v>
      </c>
      <c r="CC14" s="805">
        <f t="shared" ref="CC14:CC26" si="25">+(BE14+AU14+BO14+BY14)/AO14</f>
        <v>0.95454545454545459</v>
      </c>
      <c r="CD14" s="1139" t="s">
        <v>2084</v>
      </c>
      <c r="CE14" s="631" t="str">
        <f t="shared" si="2"/>
        <v>No Prog ni Ejec</v>
      </c>
      <c r="CF14" s="631" t="str">
        <f t="shared" ref="CF14:CF26" si="26">IF(AND(AS14=0,AU14=0),"No Prog ni Ejec",IF(AS14=0,CONCATENATE("No Prog, Ejec=  ",AU14),AU14/AS14))</f>
        <v>No Prog ni Ejec</v>
      </c>
      <c r="CG14" s="631" t="str">
        <f t="shared" si="3"/>
        <v>No Prog ni Ejec</v>
      </c>
      <c r="CH14" s="631" t="str">
        <f t="shared" ref="CH14:CH26" si="27">IF(AND(BC14=0,BE14=0),"No Prog ni Ejec",IF(BC14=0,CONCATENATE("No Prog, Ejec=  ",BE14),BE14/BC14))</f>
        <v>No Prog ni Ejec</v>
      </c>
      <c r="CI14" s="631">
        <f t="shared" si="4"/>
        <v>1</v>
      </c>
      <c r="CJ14" s="631">
        <f t="shared" ref="CJ14:CJ26" si="28">IF(AND(BM14=0,BO14=0),"No Prog ni Ejec",IF(BM14=0,CONCATENATE("No Prog, Ejec=  ",BO14),BO14/BM14))</f>
        <v>0.95454545454545459</v>
      </c>
      <c r="CK14" s="631" t="str">
        <f t="shared" si="5"/>
        <v>No Prog ni Ejec</v>
      </c>
      <c r="CL14" s="685" t="str">
        <f t="shared" ref="CL14:CL26" si="29">IF(AND(BW14=0,BY14=0),"No Prog ni Ejec",IF(BW14=0,CONCATENATE("No Prog, Ejec=  ",BY14),BY14/BW14))</f>
        <v>No Prog ni Ejec</v>
      </c>
      <c r="CM14" s="127">
        <f t="shared" si="6"/>
        <v>0</v>
      </c>
      <c r="CR14" s="121">
        <v>1</v>
      </c>
      <c r="CS14" s="121"/>
      <c r="CT14" s="121"/>
      <c r="CU14" s="121"/>
      <c r="CV14" s="121"/>
      <c r="CW14" s="121"/>
      <c r="CX14" s="121"/>
      <c r="CY14" s="121"/>
      <c r="CZ14" s="121"/>
      <c r="DA14" s="121"/>
      <c r="DB14" s="121"/>
      <c r="DC14" s="121"/>
    </row>
    <row r="15" spans="1:107" s="69" customFormat="1" ht="128.25" customHeight="1" x14ac:dyDescent="0.2">
      <c r="A15" s="813">
        <v>11200</v>
      </c>
      <c r="B15" s="806" t="s">
        <v>1</v>
      </c>
      <c r="C15" s="806" t="s">
        <v>336</v>
      </c>
      <c r="D15" s="806" t="s">
        <v>1017</v>
      </c>
      <c r="E15" s="806"/>
      <c r="F15" s="806"/>
      <c r="G15" s="806"/>
      <c r="H15" s="806"/>
      <c r="I15" s="806"/>
      <c r="J15" s="806"/>
      <c r="K15" s="806"/>
      <c r="L15" s="806"/>
      <c r="M15" s="806"/>
      <c r="N15" s="806"/>
      <c r="O15" s="806"/>
      <c r="P15" s="806"/>
      <c r="Q15" s="806" t="s">
        <v>1125</v>
      </c>
      <c r="R15" s="806" t="s">
        <v>1128</v>
      </c>
      <c r="S15" s="814" t="s">
        <v>111</v>
      </c>
      <c r="T15" s="806" t="s">
        <v>94</v>
      </c>
      <c r="U15" s="806" t="s">
        <v>204</v>
      </c>
      <c r="V15" s="806" t="s">
        <v>204</v>
      </c>
      <c r="W15" s="814" t="s">
        <v>663</v>
      </c>
      <c r="X15" s="806" t="s">
        <v>1427</v>
      </c>
      <c r="Y15" s="817" t="s">
        <v>52</v>
      </c>
      <c r="Z15" s="66">
        <v>1</v>
      </c>
      <c r="AA15" s="814" t="s">
        <v>662</v>
      </c>
      <c r="AB15" s="806" t="s">
        <v>910</v>
      </c>
      <c r="AC15" s="810">
        <v>0</v>
      </c>
      <c r="AD15" s="811">
        <v>1</v>
      </c>
      <c r="AE15" s="806" t="s">
        <v>18</v>
      </c>
      <c r="AF15" s="806" t="s">
        <v>24</v>
      </c>
      <c r="AG15" s="806" t="s">
        <v>204</v>
      </c>
      <c r="AH15" s="806" t="s">
        <v>633</v>
      </c>
      <c r="AI15" s="806" t="s">
        <v>1049</v>
      </c>
      <c r="AJ15" s="806" t="s">
        <v>204</v>
      </c>
      <c r="AK15" s="806" t="s">
        <v>1429</v>
      </c>
      <c r="AL15" s="806" t="s">
        <v>204</v>
      </c>
      <c r="AM15" s="811">
        <v>1</v>
      </c>
      <c r="AN15" s="806" t="str">
        <f t="shared" si="7"/>
        <v>Sensibilizar e incentivar a servidores y contratistas sobre la rendición de cuentas, la normativa aplicable, las responsabilidades frente a misma, su importancia y la forma en que la entidad rinde cuentas.</v>
      </c>
      <c r="AO15" s="812">
        <f t="shared" si="8"/>
        <v>0</v>
      </c>
      <c r="AP15" s="836" t="s">
        <v>48</v>
      </c>
      <c r="AQ15" s="66">
        <v>0</v>
      </c>
      <c r="AR15" s="806" t="str">
        <f t="shared" si="9"/>
        <v>Sensibilizar e incentivar a servidores y contratistas sobre la rendición de cuentas, la normativa aplicable, las responsabilidades frente a misma, su importancia y la forma en que la entidad rinde cuentas.</v>
      </c>
      <c r="AS15" s="810">
        <v>0</v>
      </c>
      <c r="AT15" s="466">
        <v>0</v>
      </c>
      <c r="AU15" s="840">
        <v>0</v>
      </c>
      <c r="AV15" s="807" t="e">
        <f t="shared" si="0"/>
        <v>#DIV/0!</v>
      </c>
      <c r="AW15" s="807" t="e">
        <f t="shared" si="10"/>
        <v>#DIV/0!</v>
      </c>
      <c r="AX15" s="807">
        <f t="shared" si="1"/>
        <v>0</v>
      </c>
      <c r="AY15" s="807" t="e">
        <f t="shared" si="11"/>
        <v>#DIV/0!</v>
      </c>
      <c r="AZ15" s="465" t="s">
        <v>1342</v>
      </c>
      <c r="BA15" s="66">
        <v>0</v>
      </c>
      <c r="BB15" s="806" t="str">
        <f t="shared" si="12"/>
        <v>Sensibilizar e incentivar a servidores y contratistas sobre la rendición de cuentas, la normativa aplicable, las responsabilidades frente a misma, su importancia y la forma en que la entidad rinde cuentas.</v>
      </c>
      <c r="BC15" s="810">
        <f>+AC15*BA15</f>
        <v>0</v>
      </c>
      <c r="BD15" s="817">
        <v>0</v>
      </c>
      <c r="BE15" s="810">
        <v>0</v>
      </c>
      <c r="BF15" s="807" t="e">
        <f t="shared" si="13"/>
        <v>#DIV/0!</v>
      </c>
      <c r="BG15" s="807" t="e">
        <f t="shared" si="14"/>
        <v>#DIV/0!</v>
      </c>
      <c r="BH15" s="807">
        <f t="shared" si="15"/>
        <v>0</v>
      </c>
      <c r="BI15" s="807" t="e">
        <f t="shared" si="16"/>
        <v>#DIV/0!</v>
      </c>
      <c r="BJ15" s="809" t="s">
        <v>1650</v>
      </c>
      <c r="BK15" s="66">
        <v>1</v>
      </c>
      <c r="BL15" s="806" t="str">
        <f t="shared" ref="BL15:BL26" si="30">+AN15</f>
        <v>Sensibilizar e incentivar a servidores y contratistas sobre la rendición de cuentas, la normativa aplicable, las responsabilidades frente a misma, su importancia y la forma en que la entidad rinde cuentas.</v>
      </c>
      <c r="BM15" s="810">
        <f>+AO15*BK15</f>
        <v>0</v>
      </c>
      <c r="BN15" s="936">
        <v>1</v>
      </c>
      <c r="BO15" s="935">
        <v>0</v>
      </c>
      <c r="BP15" s="807">
        <f t="shared" si="17"/>
        <v>1</v>
      </c>
      <c r="BQ15" s="807" t="e">
        <f t="shared" si="18"/>
        <v>#DIV/0!</v>
      </c>
      <c r="BR15" s="807">
        <f t="shared" si="19"/>
        <v>1</v>
      </c>
      <c r="BS15" s="807" t="e">
        <f t="shared" si="20"/>
        <v>#DIV/0!</v>
      </c>
      <c r="BT15" s="937" t="s">
        <v>1854</v>
      </c>
      <c r="BU15" s="66">
        <v>0</v>
      </c>
      <c r="BV15" s="806" t="str">
        <f t="shared" si="21"/>
        <v>Sensibilizar e incentivar a servidores y contratistas sobre la rendición de cuentas, la normativa aplicable, las responsabilidades frente a misma, su importancia y la forma en que la entidad rinde cuentas.</v>
      </c>
      <c r="BW15" s="810">
        <f>+AO15*BU15</f>
        <v>0</v>
      </c>
      <c r="BX15" s="1141">
        <v>0</v>
      </c>
      <c r="BY15" s="1140">
        <v>0</v>
      </c>
      <c r="BZ15" s="805" t="e">
        <f t="shared" si="22"/>
        <v>#DIV/0!</v>
      </c>
      <c r="CA15" s="805" t="e">
        <f t="shared" si="23"/>
        <v>#DIV/0!</v>
      </c>
      <c r="CB15" s="805">
        <f t="shared" si="24"/>
        <v>1</v>
      </c>
      <c r="CC15" s="805" t="e">
        <f t="shared" si="25"/>
        <v>#DIV/0!</v>
      </c>
      <c r="CD15" s="1139" t="s">
        <v>2084</v>
      </c>
      <c r="CE15" s="631" t="str">
        <f t="shared" si="2"/>
        <v>No Prog ni Ejec</v>
      </c>
      <c r="CF15" s="631" t="str">
        <f t="shared" si="26"/>
        <v>No Prog ni Ejec</v>
      </c>
      <c r="CG15" s="631" t="str">
        <f t="shared" si="3"/>
        <v>No Prog ni Ejec</v>
      </c>
      <c r="CH15" s="631" t="str">
        <f t="shared" si="27"/>
        <v>No Prog ni Ejec</v>
      </c>
      <c r="CI15" s="631">
        <f t="shared" si="4"/>
        <v>1</v>
      </c>
      <c r="CJ15" s="631" t="str">
        <f t="shared" si="28"/>
        <v>No Prog ni Ejec</v>
      </c>
      <c r="CK15" s="631" t="str">
        <f t="shared" si="5"/>
        <v>No Prog ni Ejec</v>
      </c>
      <c r="CL15" s="685" t="str">
        <f t="shared" si="29"/>
        <v>No Prog ni Ejec</v>
      </c>
      <c r="CM15" s="127">
        <f t="shared" si="6"/>
        <v>0</v>
      </c>
      <c r="CR15" s="121">
        <v>1</v>
      </c>
      <c r="CS15" s="121"/>
      <c r="CT15" s="121"/>
      <c r="CU15" s="121"/>
      <c r="CV15" s="121"/>
      <c r="CW15" s="121"/>
      <c r="CX15" s="121"/>
      <c r="CY15" s="121"/>
      <c r="CZ15" s="121"/>
      <c r="DA15" s="121"/>
      <c r="DB15" s="121"/>
      <c r="DC15" s="121"/>
    </row>
    <row r="16" spans="1:107" s="69" customFormat="1" ht="101.25" customHeight="1" x14ac:dyDescent="0.2">
      <c r="A16" s="813">
        <v>11200</v>
      </c>
      <c r="B16" s="806" t="s">
        <v>1</v>
      </c>
      <c r="C16" s="806" t="s">
        <v>336</v>
      </c>
      <c r="D16" s="806" t="s">
        <v>1017</v>
      </c>
      <c r="E16" s="806"/>
      <c r="F16" s="806"/>
      <c r="G16" s="806"/>
      <c r="H16" s="806"/>
      <c r="I16" s="806"/>
      <c r="J16" s="806"/>
      <c r="K16" s="806"/>
      <c r="L16" s="806"/>
      <c r="M16" s="806"/>
      <c r="N16" s="806"/>
      <c r="O16" s="806"/>
      <c r="P16" s="806"/>
      <c r="Q16" s="806" t="s">
        <v>1125</v>
      </c>
      <c r="R16" s="806" t="s">
        <v>1128</v>
      </c>
      <c r="S16" s="814" t="s">
        <v>111</v>
      </c>
      <c r="T16" s="806" t="s">
        <v>94</v>
      </c>
      <c r="U16" s="806" t="s">
        <v>204</v>
      </c>
      <c r="V16" s="806" t="s">
        <v>204</v>
      </c>
      <c r="W16" s="814" t="s">
        <v>664</v>
      </c>
      <c r="X16" s="806" t="s">
        <v>1428</v>
      </c>
      <c r="Y16" s="817" t="s">
        <v>52</v>
      </c>
      <c r="Z16" s="66">
        <v>1</v>
      </c>
      <c r="AA16" s="814" t="s">
        <v>655</v>
      </c>
      <c r="AB16" s="806" t="s">
        <v>911</v>
      </c>
      <c r="AC16" s="810">
        <v>0</v>
      </c>
      <c r="AD16" s="811">
        <v>1</v>
      </c>
      <c r="AE16" s="806" t="s">
        <v>18</v>
      </c>
      <c r="AF16" s="806" t="s">
        <v>301</v>
      </c>
      <c r="AG16" s="806" t="s">
        <v>628</v>
      </c>
      <c r="AH16" s="806" t="s">
        <v>630</v>
      </c>
      <c r="AI16" s="806" t="s">
        <v>1049</v>
      </c>
      <c r="AJ16" s="806" t="s">
        <v>1266</v>
      </c>
      <c r="AK16" s="806" t="s">
        <v>1430</v>
      </c>
      <c r="AL16" s="806" t="s">
        <v>204</v>
      </c>
      <c r="AM16" s="66">
        <v>1</v>
      </c>
      <c r="AN16" s="806" t="str">
        <f t="shared" si="7"/>
        <v>Sensibilizar a la ciudadanía y partes interesadas sobre la rendición de cuentas y la importancia de su participación en los procesos, a través de medios electrónicos, con el fin de incentivarlos a participar en este proceso.</v>
      </c>
      <c r="AO16" s="812">
        <f t="shared" si="8"/>
        <v>0</v>
      </c>
      <c r="AP16" s="836" t="s">
        <v>48</v>
      </c>
      <c r="AQ16" s="66">
        <v>0</v>
      </c>
      <c r="AR16" s="806" t="str">
        <f t="shared" si="9"/>
        <v>Sensibilizar a la ciudadanía y partes interesadas sobre la rendición de cuentas y la importancia de su participación en los procesos, a través de medios electrónicos, con el fin de incentivarlos a participar en este proceso.</v>
      </c>
      <c r="AS16" s="810">
        <f t="shared" ref="AS16:AS18" si="31">+AO16/4</f>
        <v>0</v>
      </c>
      <c r="AT16" s="466">
        <v>0</v>
      </c>
      <c r="AU16" s="840">
        <v>0</v>
      </c>
      <c r="AV16" s="807" t="e">
        <f t="shared" si="0"/>
        <v>#DIV/0!</v>
      </c>
      <c r="AW16" s="807" t="e">
        <f t="shared" si="10"/>
        <v>#DIV/0!</v>
      </c>
      <c r="AX16" s="807">
        <f t="shared" si="1"/>
        <v>0</v>
      </c>
      <c r="AY16" s="807" t="e">
        <f t="shared" si="11"/>
        <v>#DIV/0!</v>
      </c>
      <c r="AZ16" s="465" t="s">
        <v>1342</v>
      </c>
      <c r="BA16" s="66">
        <v>0</v>
      </c>
      <c r="BB16" s="806" t="str">
        <f t="shared" si="12"/>
        <v>Sensibilizar a la ciudadanía y partes interesadas sobre la rendición de cuentas y la importancia de su participación en los procesos, a través de medios electrónicos, con el fin de incentivarlos a participar en este proceso.</v>
      </c>
      <c r="BC16" s="810">
        <f t="shared" ref="BC16:BC18" si="32">+AO16/4</f>
        <v>0</v>
      </c>
      <c r="BD16" s="817">
        <v>0</v>
      </c>
      <c r="BE16" s="810">
        <v>0</v>
      </c>
      <c r="BF16" s="807" t="e">
        <f t="shared" si="13"/>
        <v>#DIV/0!</v>
      </c>
      <c r="BG16" s="807" t="e">
        <f t="shared" si="14"/>
        <v>#DIV/0!</v>
      </c>
      <c r="BH16" s="807">
        <f t="shared" si="15"/>
        <v>0</v>
      </c>
      <c r="BI16" s="807" t="e">
        <f t="shared" si="16"/>
        <v>#DIV/0!</v>
      </c>
      <c r="BJ16" s="809" t="s">
        <v>1650</v>
      </c>
      <c r="BK16" s="66">
        <v>1</v>
      </c>
      <c r="BL16" s="806" t="str">
        <f t="shared" si="30"/>
        <v>Sensibilizar a la ciudadanía y partes interesadas sobre la rendición de cuentas y la importancia de su participación en los procesos, a través de medios electrónicos, con el fin de incentivarlos a participar en este proceso.</v>
      </c>
      <c r="BM16" s="810">
        <f t="shared" ref="BM16:BM18" si="33">+AO16/4</f>
        <v>0</v>
      </c>
      <c r="BN16" s="936">
        <v>1</v>
      </c>
      <c r="BO16" s="935">
        <v>0</v>
      </c>
      <c r="BP16" s="807">
        <f t="shared" si="17"/>
        <v>1</v>
      </c>
      <c r="BQ16" s="807" t="e">
        <f t="shared" si="18"/>
        <v>#DIV/0!</v>
      </c>
      <c r="BR16" s="807">
        <f t="shared" si="19"/>
        <v>1</v>
      </c>
      <c r="BS16" s="807" t="e">
        <f t="shared" si="20"/>
        <v>#DIV/0!</v>
      </c>
      <c r="BT16" s="937" t="s">
        <v>1855</v>
      </c>
      <c r="BU16" s="66">
        <v>0</v>
      </c>
      <c r="BV16" s="806" t="str">
        <f t="shared" si="21"/>
        <v>Sensibilizar a la ciudadanía y partes interesadas sobre la rendición de cuentas y la importancia de su participación en los procesos, a través de medios electrónicos, con el fin de incentivarlos a participar en este proceso.</v>
      </c>
      <c r="BW16" s="810">
        <f t="shared" ref="BW16:BW18" si="34">+AO16/4</f>
        <v>0</v>
      </c>
      <c r="BX16" s="1141">
        <v>0</v>
      </c>
      <c r="BY16" s="1140">
        <v>0</v>
      </c>
      <c r="BZ16" s="805" t="e">
        <f t="shared" si="22"/>
        <v>#DIV/0!</v>
      </c>
      <c r="CA16" s="805" t="e">
        <f t="shared" si="23"/>
        <v>#DIV/0!</v>
      </c>
      <c r="CB16" s="805">
        <f t="shared" si="24"/>
        <v>1</v>
      </c>
      <c r="CC16" s="805" t="e">
        <f t="shared" si="25"/>
        <v>#DIV/0!</v>
      </c>
      <c r="CD16" s="1139" t="s">
        <v>2084</v>
      </c>
      <c r="CE16" s="631" t="str">
        <f t="shared" si="2"/>
        <v>No Prog ni Ejec</v>
      </c>
      <c r="CF16" s="631" t="str">
        <f t="shared" si="26"/>
        <v>No Prog ni Ejec</v>
      </c>
      <c r="CG16" s="631" t="str">
        <f t="shared" si="3"/>
        <v>No Prog ni Ejec</v>
      </c>
      <c r="CH16" s="631" t="str">
        <f t="shared" si="27"/>
        <v>No Prog ni Ejec</v>
      </c>
      <c r="CI16" s="631">
        <f t="shared" si="4"/>
        <v>1</v>
      </c>
      <c r="CJ16" s="631" t="str">
        <f t="shared" si="28"/>
        <v>No Prog ni Ejec</v>
      </c>
      <c r="CK16" s="631" t="str">
        <f t="shared" si="5"/>
        <v>No Prog ni Ejec</v>
      </c>
      <c r="CL16" s="685" t="str">
        <f t="shared" si="29"/>
        <v>No Prog ni Ejec</v>
      </c>
      <c r="CM16" s="127">
        <f t="shared" si="6"/>
        <v>0</v>
      </c>
      <c r="CR16" s="121">
        <v>1</v>
      </c>
      <c r="CS16" s="121"/>
      <c r="CT16" s="121"/>
      <c r="CU16" s="121"/>
      <c r="CV16" s="121"/>
      <c r="CW16" s="121"/>
      <c r="CX16" s="121"/>
      <c r="CY16" s="121"/>
      <c r="CZ16" s="121"/>
      <c r="DA16" s="121"/>
      <c r="DB16" s="121"/>
      <c r="DC16" s="121"/>
    </row>
    <row r="17" spans="1:101" s="69" customFormat="1" ht="171" customHeight="1" x14ac:dyDescent="0.2">
      <c r="A17" s="813">
        <v>11300</v>
      </c>
      <c r="B17" s="806" t="s">
        <v>1050</v>
      </c>
      <c r="C17" s="806" t="s">
        <v>330</v>
      </c>
      <c r="D17" s="806"/>
      <c r="E17" s="806" t="s">
        <v>1017</v>
      </c>
      <c r="F17" s="806"/>
      <c r="G17" s="806"/>
      <c r="H17" s="806"/>
      <c r="I17" s="806"/>
      <c r="J17" s="806"/>
      <c r="K17" s="806"/>
      <c r="L17" s="806"/>
      <c r="M17" s="806"/>
      <c r="N17" s="806"/>
      <c r="O17" s="806"/>
      <c r="P17" s="806"/>
      <c r="Q17" s="806" t="s">
        <v>204</v>
      </c>
      <c r="R17" s="806" t="s">
        <v>204</v>
      </c>
      <c r="S17" s="814" t="s">
        <v>1051</v>
      </c>
      <c r="T17" s="806" t="s">
        <v>94</v>
      </c>
      <c r="U17" s="806" t="s">
        <v>204</v>
      </c>
      <c r="V17" s="806" t="s">
        <v>204</v>
      </c>
      <c r="W17" s="815" t="s">
        <v>1052</v>
      </c>
      <c r="X17" s="806" t="s">
        <v>559</v>
      </c>
      <c r="Y17" s="817" t="s">
        <v>51</v>
      </c>
      <c r="Z17" s="805">
        <v>1</v>
      </c>
      <c r="AA17" s="815" t="s">
        <v>1053</v>
      </c>
      <c r="AB17" s="806" t="s">
        <v>1032</v>
      </c>
      <c r="AC17" s="810">
        <v>0</v>
      </c>
      <c r="AD17" s="811">
        <v>1</v>
      </c>
      <c r="AE17" s="806" t="s">
        <v>17</v>
      </c>
      <c r="AF17" s="806" t="s">
        <v>295</v>
      </c>
      <c r="AG17" s="806" t="s">
        <v>629</v>
      </c>
      <c r="AH17" s="806" t="s">
        <v>632</v>
      </c>
      <c r="AI17" s="806" t="s">
        <v>1039</v>
      </c>
      <c r="AJ17" s="806" t="s">
        <v>1279</v>
      </c>
      <c r="AK17" s="806" t="s">
        <v>558</v>
      </c>
      <c r="AL17" s="806" t="s">
        <v>204</v>
      </c>
      <c r="AM17" s="811">
        <v>1</v>
      </c>
      <c r="AN17" s="806" t="str">
        <f t="shared" si="7"/>
        <v>Implementar el SARL, SARC y SARM con los lineamientos establecidos en la Circular 006 de 2018</v>
      </c>
      <c r="AO17" s="812">
        <f t="shared" si="8"/>
        <v>0</v>
      </c>
      <c r="AP17" s="836" t="s">
        <v>48</v>
      </c>
      <c r="AQ17" s="811">
        <v>0</v>
      </c>
      <c r="AR17" s="806" t="str">
        <f t="shared" si="9"/>
        <v>Implementar el SARL, SARC y SARM con los lineamientos establecidos en la Circular 006 de 2018</v>
      </c>
      <c r="AS17" s="810">
        <f t="shared" si="31"/>
        <v>0</v>
      </c>
      <c r="AT17" s="466">
        <f>1*AQ17</f>
        <v>0</v>
      </c>
      <c r="AU17" s="840">
        <v>0</v>
      </c>
      <c r="AV17" s="807" t="e">
        <f t="shared" si="0"/>
        <v>#DIV/0!</v>
      </c>
      <c r="AW17" s="807" t="e">
        <f t="shared" si="10"/>
        <v>#DIV/0!</v>
      </c>
      <c r="AX17" s="807">
        <f t="shared" si="1"/>
        <v>0</v>
      </c>
      <c r="AY17" s="807" t="e">
        <f t="shared" si="11"/>
        <v>#DIV/0!</v>
      </c>
      <c r="AZ17" s="465" t="s">
        <v>1345</v>
      </c>
      <c r="BA17" s="811">
        <v>0</v>
      </c>
      <c r="BB17" s="806" t="str">
        <f t="shared" si="12"/>
        <v>Implementar el SARL, SARC y SARM con los lineamientos establecidos en la Circular 006 de 2018</v>
      </c>
      <c r="BC17" s="810">
        <f t="shared" si="32"/>
        <v>0</v>
      </c>
      <c r="BD17" s="824">
        <v>0</v>
      </c>
      <c r="BE17" s="840">
        <v>0</v>
      </c>
      <c r="BF17" s="807" t="e">
        <f t="shared" si="13"/>
        <v>#DIV/0!</v>
      </c>
      <c r="BG17" s="807" t="e">
        <f t="shared" si="14"/>
        <v>#DIV/0!</v>
      </c>
      <c r="BH17" s="807">
        <f t="shared" si="15"/>
        <v>0</v>
      </c>
      <c r="BI17" s="807" t="e">
        <f t="shared" si="16"/>
        <v>#DIV/0!</v>
      </c>
      <c r="BJ17" s="808" t="s">
        <v>1665</v>
      </c>
      <c r="BK17" s="805">
        <v>0.5</v>
      </c>
      <c r="BL17" s="806" t="str">
        <f t="shared" si="30"/>
        <v>Implementar el SARL, SARC y SARM con los lineamientos establecidos en la Circular 006 de 2018</v>
      </c>
      <c r="BM17" s="810">
        <f t="shared" si="33"/>
        <v>0</v>
      </c>
      <c r="BN17" s="928">
        <f>(2/2)*BK17</f>
        <v>0.5</v>
      </c>
      <c r="BO17" s="933">
        <f>+AQ17/4</f>
        <v>0</v>
      </c>
      <c r="BP17" s="807">
        <f t="shared" si="17"/>
        <v>1</v>
      </c>
      <c r="BQ17" s="807" t="e">
        <f t="shared" si="18"/>
        <v>#DIV/0!</v>
      </c>
      <c r="BR17" s="807">
        <f t="shared" si="19"/>
        <v>0.5</v>
      </c>
      <c r="BS17" s="807" t="e">
        <f t="shared" si="20"/>
        <v>#DIV/0!</v>
      </c>
      <c r="BT17" s="469" t="s">
        <v>1843</v>
      </c>
      <c r="BU17" s="805">
        <v>0.5</v>
      </c>
      <c r="BV17" s="806" t="str">
        <f t="shared" si="21"/>
        <v>Implementar el SARL, SARC y SARM con los lineamientos establecidos en la Circular 006 de 2018</v>
      </c>
      <c r="BW17" s="810">
        <f t="shared" si="34"/>
        <v>0</v>
      </c>
      <c r="BX17" s="1175">
        <f>+(3/3)*50%</f>
        <v>0.5</v>
      </c>
      <c r="BY17" s="814">
        <v>0</v>
      </c>
      <c r="BZ17" s="805">
        <f t="shared" si="22"/>
        <v>1</v>
      </c>
      <c r="CA17" s="805" t="e">
        <f t="shared" si="23"/>
        <v>#DIV/0!</v>
      </c>
      <c r="CB17" s="805">
        <f t="shared" si="24"/>
        <v>1</v>
      </c>
      <c r="CC17" s="805" t="e">
        <f t="shared" si="25"/>
        <v>#DIV/0!</v>
      </c>
      <c r="CD17" s="1179" t="s">
        <v>2096</v>
      </c>
      <c r="CE17" s="631" t="str">
        <f t="shared" si="2"/>
        <v>No Prog ni Ejec</v>
      </c>
      <c r="CF17" s="631" t="str">
        <f t="shared" si="26"/>
        <v>No Prog ni Ejec</v>
      </c>
      <c r="CG17" s="631" t="str">
        <f t="shared" si="3"/>
        <v>No Prog ni Ejec</v>
      </c>
      <c r="CH17" s="631" t="str">
        <f t="shared" si="27"/>
        <v>No Prog ni Ejec</v>
      </c>
      <c r="CI17" s="631">
        <f t="shared" si="4"/>
        <v>1</v>
      </c>
      <c r="CJ17" s="631" t="str">
        <f t="shared" si="28"/>
        <v>No Prog ni Ejec</v>
      </c>
      <c r="CK17" s="631">
        <f t="shared" si="5"/>
        <v>1</v>
      </c>
      <c r="CL17" s="685" t="str">
        <f t="shared" si="29"/>
        <v>No Prog ni Ejec</v>
      </c>
      <c r="CM17" s="127">
        <f t="shared" si="6"/>
        <v>0</v>
      </c>
      <c r="CW17" s="121">
        <v>6</v>
      </c>
    </row>
    <row r="18" spans="1:101" s="69" customFormat="1" ht="129.75" customHeight="1" x14ac:dyDescent="0.2">
      <c r="A18" s="813">
        <v>11300</v>
      </c>
      <c r="B18" s="806" t="s">
        <v>2</v>
      </c>
      <c r="C18" s="806" t="s">
        <v>336</v>
      </c>
      <c r="D18" s="806" t="s">
        <v>1017</v>
      </c>
      <c r="E18" s="806"/>
      <c r="F18" s="806"/>
      <c r="G18" s="806"/>
      <c r="H18" s="806"/>
      <c r="I18" s="806"/>
      <c r="J18" s="806"/>
      <c r="K18" s="806"/>
      <c r="L18" s="806"/>
      <c r="M18" s="806"/>
      <c r="N18" s="806"/>
      <c r="O18" s="806"/>
      <c r="P18" s="806"/>
      <c r="Q18" s="806" t="s">
        <v>1123</v>
      </c>
      <c r="R18" s="806" t="s">
        <v>1129</v>
      </c>
      <c r="S18" s="814" t="s">
        <v>63</v>
      </c>
      <c r="T18" s="806" t="s">
        <v>94</v>
      </c>
      <c r="U18" s="806" t="s">
        <v>204</v>
      </c>
      <c r="V18" s="806" t="s">
        <v>204</v>
      </c>
      <c r="W18" s="814" t="s">
        <v>155</v>
      </c>
      <c r="X18" s="806" t="s">
        <v>1055</v>
      </c>
      <c r="Y18" s="817" t="s">
        <v>390</v>
      </c>
      <c r="Z18" s="66">
        <v>3</v>
      </c>
      <c r="AA18" s="814" t="s">
        <v>154</v>
      </c>
      <c r="AB18" s="806" t="s">
        <v>1054</v>
      </c>
      <c r="AC18" s="810">
        <v>0</v>
      </c>
      <c r="AD18" s="811">
        <v>1</v>
      </c>
      <c r="AE18" s="806" t="s">
        <v>17</v>
      </c>
      <c r="AF18" s="806" t="s">
        <v>295</v>
      </c>
      <c r="AG18" s="806" t="s">
        <v>204</v>
      </c>
      <c r="AH18" s="806" t="s">
        <v>633</v>
      </c>
      <c r="AI18" s="806" t="s">
        <v>1045</v>
      </c>
      <c r="AJ18" s="806" t="s">
        <v>1274</v>
      </c>
      <c r="AK18" s="806" t="s">
        <v>1056</v>
      </c>
      <c r="AL18" s="806" t="s">
        <v>204</v>
      </c>
      <c r="AM18" s="67">
        <v>3</v>
      </c>
      <c r="AN18" s="806" t="str">
        <f t="shared" si="7"/>
        <v>Realizar reuniones de autocontrol y seguimiento a los procesos que evidencien el monitoreo a los riesgos, indicadores, planes de mejoramiento, manuales y documentos asociados</v>
      </c>
      <c r="AO18" s="812">
        <f t="shared" si="8"/>
        <v>0</v>
      </c>
      <c r="AP18" s="836" t="s">
        <v>48</v>
      </c>
      <c r="AQ18" s="67">
        <v>0</v>
      </c>
      <c r="AR18" s="806" t="str">
        <f t="shared" si="9"/>
        <v>Realizar reuniones de autocontrol y seguimiento a los procesos que evidencien el monitoreo a los riesgos, indicadores, planes de mejoramiento, manuales y documentos asociados</v>
      </c>
      <c r="AS18" s="810">
        <f t="shared" si="31"/>
        <v>0</v>
      </c>
      <c r="AT18" s="828">
        <v>0</v>
      </c>
      <c r="AU18" s="840">
        <v>0</v>
      </c>
      <c r="AV18" s="807" t="e">
        <f t="shared" si="0"/>
        <v>#DIV/0!</v>
      </c>
      <c r="AW18" s="807" t="e">
        <f t="shared" si="10"/>
        <v>#DIV/0!</v>
      </c>
      <c r="AX18" s="807">
        <f t="shared" si="1"/>
        <v>0</v>
      </c>
      <c r="AY18" s="807" t="e">
        <f t="shared" si="11"/>
        <v>#DIV/0!</v>
      </c>
      <c r="AZ18" s="465" t="s">
        <v>1329</v>
      </c>
      <c r="BA18" s="67">
        <v>1</v>
      </c>
      <c r="BB18" s="806" t="str">
        <f t="shared" si="12"/>
        <v>Realizar reuniones de autocontrol y seguimiento a los procesos que evidencien el monitoreo a los riesgos, indicadores, planes de mejoramiento, manuales y documentos asociados</v>
      </c>
      <c r="BC18" s="810">
        <f t="shared" si="32"/>
        <v>0</v>
      </c>
      <c r="BD18" s="828">
        <v>1</v>
      </c>
      <c r="BE18" s="840">
        <v>0</v>
      </c>
      <c r="BF18" s="807">
        <f t="shared" si="13"/>
        <v>1</v>
      </c>
      <c r="BG18" s="807" t="e">
        <f t="shared" si="14"/>
        <v>#DIV/0!</v>
      </c>
      <c r="BH18" s="807">
        <f t="shared" si="15"/>
        <v>0.33333333333333331</v>
      </c>
      <c r="BI18" s="807" t="e">
        <f t="shared" si="16"/>
        <v>#DIV/0!</v>
      </c>
      <c r="BJ18" s="808" t="s">
        <v>1666</v>
      </c>
      <c r="BK18" s="67">
        <v>1</v>
      </c>
      <c r="BL18" s="806" t="str">
        <f t="shared" si="30"/>
        <v>Realizar reuniones de autocontrol y seguimiento a los procesos que evidencien el monitoreo a los riesgos, indicadores, planes de mejoramiento, manuales y documentos asociados</v>
      </c>
      <c r="BM18" s="810">
        <f t="shared" si="33"/>
        <v>0</v>
      </c>
      <c r="BN18" s="930">
        <v>1</v>
      </c>
      <c r="BO18" s="929">
        <f t="shared" ref="BO18" si="35">+AQ18/4</f>
        <v>0</v>
      </c>
      <c r="BP18" s="807">
        <f t="shared" si="17"/>
        <v>1</v>
      </c>
      <c r="BQ18" s="807" t="e">
        <f t="shared" si="18"/>
        <v>#DIV/0!</v>
      </c>
      <c r="BR18" s="807">
        <f t="shared" si="19"/>
        <v>0.66666666666666663</v>
      </c>
      <c r="BS18" s="807" t="e">
        <f t="shared" si="20"/>
        <v>#DIV/0!</v>
      </c>
      <c r="BT18" s="459" t="s">
        <v>1666</v>
      </c>
      <c r="BU18" s="67">
        <v>1</v>
      </c>
      <c r="BV18" s="806" t="str">
        <f t="shared" si="21"/>
        <v>Realizar reuniones de autocontrol y seguimiento a los procesos que evidencien el monitoreo a los riesgos, indicadores, planes de mejoramiento, manuales y documentos asociados</v>
      </c>
      <c r="BW18" s="810">
        <f t="shared" si="34"/>
        <v>0</v>
      </c>
      <c r="BX18" s="1176">
        <v>1</v>
      </c>
      <c r="BY18" s="1174">
        <v>0</v>
      </c>
      <c r="BZ18" s="805">
        <f t="shared" si="22"/>
        <v>1</v>
      </c>
      <c r="CA18" s="805" t="e">
        <f t="shared" si="23"/>
        <v>#DIV/0!</v>
      </c>
      <c r="CB18" s="805">
        <f t="shared" si="24"/>
        <v>1</v>
      </c>
      <c r="CC18" s="805" t="e">
        <f t="shared" si="25"/>
        <v>#DIV/0!</v>
      </c>
      <c r="CD18" s="1178" t="s">
        <v>2097</v>
      </c>
      <c r="CE18" s="631" t="str">
        <f t="shared" si="2"/>
        <v>No Prog ni Ejec</v>
      </c>
      <c r="CF18" s="631" t="str">
        <f t="shared" si="26"/>
        <v>No Prog ni Ejec</v>
      </c>
      <c r="CG18" s="631">
        <f t="shared" si="3"/>
        <v>1</v>
      </c>
      <c r="CH18" s="631" t="str">
        <f t="shared" si="27"/>
        <v>No Prog ni Ejec</v>
      </c>
      <c r="CI18" s="631">
        <f t="shared" si="4"/>
        <v>1</v>
      </c>
      <c r="CJ18" s="631" t="str">
        <f t="shared" si="28"/>
        <v>No Prog ni Ejec</v>
      </c>
      <c r="CK18" s="631">
        <f t="shared" si="5"/>
        <v>1</v>
      </c>
      <c r="CL18" s="685" t="str">
        <f t="shared" si="29"/>
        <v>No Prog ni Ejec</v>
      </c>
      <c r="CM18" s="127">
        <f t="shared" si="6"/>
        <v>0</v>
      </c>
      <c r="CW18" s="121"/>
    </row>
    <row r="19" spans="1:101" s="69" customFormat="1" ht="90" customHeight="1" x14ac:dyDescent="0.2">
      <c r="A19" s="813">
        <v>12000</v>
      </c>
      <c r="B19" s="806" t="s">
        <v>15</v>
      </c>
      <c r="C19" s="806" t="s">
        <v>336</v>
      </c>
      <c r="D19" s="822" t="s">
        <v>1017</v>
      </c>
      <c r="E19" s="806" t="s">
        <v>1017</v>
      </c>
      <c r="F19" s="806"/>
      <c r="G19" s="806"/>
      <c r="H19" s="806"/>
      <c r="I19" s="806"/>
      <c r="J19" s="806"/>
      <c r="K19" s="806"/>
      <c r="L19" s="806"/>
      <c r="M19" s="806"/>
      <c r="N19" s="806"/>
      <c r="O19" s="806"/>
      <c r="P19" s="806"/>
      <c r="Q19" s="806" t="s">
        <v>1719</v>
      </c>
      <c r="R19" s="806" t="s">
        <v>204</v>
      </c>
      <c r="S19" s="814" t="s">
        <v>53</v>
      </c>
      <c r="T19" s="806" t="s">
        <v>94</v>
      </c>
      <c r="U19" s="806" t="s">
        <v>204</v>
      </c>
      <c r="V19" s="806" t="s">
        <v>204</v>
      </c>
      <c r="W19" s="814" t="s">
        <v>58</v>
      </c>
      <c r="X19" s="806" t="s">
        <v>557</v>
      </c>
      <c r="Y19" s="817" t="s">
        <v>51</v>
      </c>
      <c r="Z19" s="805">
        <v>1</v>
      </c>
      <c r="AA19" s="814" t="s">
        <v>54</v>
      </c>
      <c r="AB19" s="806" t="s">
        <v>556</v>
      </c>
      <c r="AC19" s="812">
        <v>24000000</v>
      </c>
      <c r="AD19" s="811">
        <v>1</v>
      </c>
      <c r="AE19" s="806" t="s">
        <v>17</v>
      </c>
      <c r="AF19" s="806" t="s">
        <v>295</v>
      </c>
      <c r="AG19" s="806" t="s">
        <v>204</v>
      </c>
      <c r="AH19" s="806" t="s">
        <v>633</v>
      </c>
      <c r="AI19" s="806" t="s">
        <v>1039</v>
      </c>
      <c r="AJ19" s="806" t="s">
        <v>1279</v>
      </c>
      <c r="AK19" s="806" t="s">
        <v>558</v>
      </c>
      <c r="AL19" s="806" t="s">
        <v>204</v>
      </c>
      <c r="AM19" s="811">
        <v>1</v>
      </c>
      <c r="AN19" s="806" t="str">
        <f t="shared" si="7"/>
        <v>Implementar el SARLAFT</v>
      </c>
      <c r="AO19" s="812">
        <f t="shared" si="8"/>
        <v>24000000</v>
      </c>
      <c r="AP19" s="836" t="s">
        <v>48</v>
      </c>
      <c r="AQ19" s="805">
        <v>0.45</v>
      </c>
      <c r="AR19" s="806" t="str">
        <f t="shared" si="9"/>
        <v>Implementar el SARLAFT</v>
      </c>
      <c r="AS19" s="810">
        <v>0</v>
      </c>
      <c r="AT19" s="827">
        <f>(4/20)</f>
        <v>0.2</v>
      </c>
      <c r="AU19" s="819">
        <v>0</v>
      </c>
      <c r="AV19" s="807">
        <f t="shared" si="0"/>
        <v>0.44444444444444448</v>
      </c>
      <c r="AW19" s="807" t="e">
        <f t="shared" si="10"/>
        <v>#DIV/0!</v>
      </c>
      <c r="AX19" s="807">
        <f t="shared" si="1"/>
        <v>0.2</v>
      </c>
      <c r="AY19" s="807">
        <f t="shared" si="11"/>
        <v>0</v>
      </c>
      <c r="AZ19" s="806" t="s">
        <v>1731</v>
      </c>
      <c r="BA19" s="805">
        <v>0.2</v>
      </c>
      <c r="BB19" s="806" t="str">
        <f t="shared" si="12"/>
        <v>Implementar el SARLAFT</v>
      </c>
      <c r="BC19" s="810">
        <v>0</v>
      </c>
      <c r="BD19" s="827">
        <f>5/20</f>
        <v>0.25</v>
      </c>
      <c r="BE19" s="810">
        <v>0</v>
      </c>
      <c r="BF19" s="807">
        <f t="shared" si="13"/>
        <v>1.25</v>
      </c>
      <c r="BG19" s="807" t="e">
        <f>+(BE19/BC19)</f>
        <v>#DIV/0!</v>
      </c>
      <c r="BH19" s="807">
        <f t="shared" si="15"/>
        <v>0.45</v>
      </c>
      <c r="BI19" s="807">
        <f t="shared" si="16"/>
        <v>0</v>
      </c>
      <c r="BJ19" s="808" t="s">
        <v>1732</v>
      </c>
      <c r="BK19" s="805">
        <v>0.35</v>
      </c>
      <c r="BL19" s="806" t="str">
        <f t="shared" si="30"/>
        <v>Implementar el SARLAFT</v>
      </c>
      <c r="BM19" s="810">
        <v>12000000</v>
      </c>
      <c r="BN19" s="918">
        <f>(11.28/27)</f>
        <v>0.41777777777777775</v>
      </c>
      <c r="BO19" s="917">
        <v>12000000</v>
      </c>
      <c r="BP19" s="807">
        <f t="shared" si="17"/>
        <v>1.1936507936507936</v>
      </c>
      <c r="BQ19" s="807">
        <f t="shared" si="18"/>
        <v>1</v>
      </c>
      <c r="BR19" s="807">
        <f t="shared" si="19"/>
        <v>0.86777777777777776</v>
      </c>
      <c r="BS19" s="807">
        <f t="shared" si="20"/>
        <v>0.5</v>
      </c>
      <c r="BT19" s="916" t="s">
        <v>1821</v>
      </c>
      <c r="BU19" s="805">
        <v>0</v>
      </c>
      <c r="BV19" s="806" t="str">
        <f t="shared" si="21"/>
        <v>Implementar el SARLAFT</v>
      </c>
      <c r="BW19" s="810">
        <v>12000000</v>
      </c>
      <c r="BX19" s="1045">
        <v>0</v>
      </c>
      <c r="BY19" s="1043">
        <v>10133333</v>
      </c>
      <c r="BZ19" s="805" t="e">
        <f t="shared" si="22"/>
        <v>#DIV/0!</v>
      </c>
      <c r="CA19" s="805">
        <f t="shared" si="23"/>
        <v>0.8444444166666667</v>
      </c>
      <c r="CB19" s="805">
        <f t="shared" si="24"/>
        <v>0.86777777777777776</v>
      </c>
      <c r="CC19" s="805">
        <f t="shared" si="25"/>
        <v>0.92222220833333335</v>
      </c>
      <c r="CD19" s="682" t="s">
        <v>1962</v>
      </c>
      <c r="CE19" s="631">
        <f t="shared" si="2"/>
        <v>0.44444444444444448</v>
      </c>
      <c r="CF19" s="631" t="str">
        <f t="shared" si="26"/>
        <v>No Prog ni Ejec</v>
      </c>
      <c r="CG19" s="631">
        <f t="shared" si="3"/>
        <v>1.25</v>
      </c>
      <c r="CH19" s="631" t="str">
        <f t="shared" si="27"/>
        <v>No Prog ni Ejec</v>
      </c>
      <c r="CI19" s="631">
        <f t="shared" si="4"/>
        <v>1.1936507936507936</v>
      </c>
      <c r="CJ19" s="631">
        <f t="shared" si="28"/>
        <v>1</v>
      </c>
      <c r="CK19" s="631" t="str">
        <f t="shared" si="5"/>
        <v>No Prog ni Ejec</v>
      </c>
      <c r="CL19" s="685">
        <f t="shared" si="29"/>
        <v>0.8444444166666667</v>
      </c>
      <c r="CM19" s="127">
        <f t="shared" si="6"/>
        <v>0</v>
      </c>
      <c r="CW19" s="121">
        <v>6</v>
      </c>
    </row>
    <row r="20" spans="1:101" s="69" customFormat="1" ht="204.75" customHeight="1" x14ac:dyDescent="0.2">
      <c r="A20" s="813">
        <v>12000</v>
      </c>
      <c r="B20" s="806" t="s">
        <v>15</v>
      </c>
      <c r="C20" s="806" t="s">
        <v>330</v>
      </c>
      <c r="D20" s="806"/>
      <c r="E20" s="806" t="s">
        <v>1017</v>
      </c>
      <c r="F20" s="806"/>
      <c r="G20" s="806"/>
      <c r="H20" s="806"/>
      <c r="I20" s="806"/>
      <c r="J20" s="806"/>
      <c r="K20" s="806"/>
      <c r="L20" s="806"/>
      <c r="M20" s="806"/>
      <c r="N20" s="806"/>
      <c r="O20" s="806"/>
      <c r="P20" s="806"/>
      <c r="Q20" s="806" t="s">
        <v>204</v>
      </c>
      <c r="R20" s="806" t="s">
        <v>204</v>
      </c>
      <c r="S20" s="814" t="s">
        <v>53</v>
      </c>
      <c r="T20" s="806" t="s">
        <v>94</v>
      </c>
      <c r="U20" s="806" t="s">
        <v>204</v>
      </c>
      <c r="V20" s="806" t="s">
        <v>204</v>
      </c>
      <c r="W20" s="814" t="s">
        <v>1057</v>
      </c>
      <c r="X20" s="806" t="s">
        <v>561</v>
      </c>
      <c r="Y20" s="817" t="s">
        <v>51</v>
      </c>
      <c r="Z20" s="805">
        <v>1</v>
      </c>
      <c r="AA20" s="814" t="s">
        <v>879</v>
      </c>
      <c r="AB20" s="806" t="s">
        <v>560</v>
      </c>
      <c r="AC20" s="812">
        <v>24000000</v>
      </c>
      <c r="AD20" s="811">
        <v>1</v>
      </c>
      <c r="AE20" s="806" t="s">
        <v>20</v>
      </c>
      <c r="AF20" s="806" t="s">
        <v>22</v>
      </c>
      <c r="AG20" s="806" t="s">
        <v>204</v>
      </c>
      <c r="AH20" s="806" t="s">
        <v>633</v>
      </c>
      <c r="AI20" s="806" t="s">
        <v>1045</v>
      </c>
      <c r="AJ20" s="806" t="s">
        <v>1279</v>
      </c>
      <c r="AK20" s="806" t="s">
        <v>558</v>
      </c>
      <c r="AL20" s="806" t="s">
        <v>204</v>
      </c>
      <c r="AM20" s="811">
        <v>1</v>
      </c>
      <c r="AN20" s="806" t="str">
        <f t="shared" si="7"/>
        <v>Apoyar la definición e implementación del Plan de Continuidad del Negocio</v>
      </c>
      <c r="AO20" s="812">
        <f t="shared" si="8"/>
        <v>24000000</v>
      </c>
      <c r="AP20" s="836" t="s">
        <v>48</v>
      </c>
      <c r="AQ20" s="805">
        <v>0.45</v>
      </c>
      <c r="AR20" s="806" t="str">
        <f t="shared" si="9"/>
        <v>Apoyar la definición e implementación del Plan de Continuidad del Negocio</v>
      </c>
      <c r="AS20" s="810">
        <v>0</v>
      </c>
      <c r="AT20" s="824">
        <v>0</v>
      </c>
      <c r="AU20" s="819">
        <v>0</v>
      </c>
      <c r="AV20" s="807">
        <f t="shared" si="0"/>
        <v>0</v>
      </c>
      <c r="AW20" s="807" t="e">
        <f t="shared" si="10"/>
        <v>#DIV/0!</v>
      </c>
      <c r="AX20" s="807">
        <f t="shared" si="1"/>
        <v>0</v>
      </c>
      <c r="AY20" s="807">
        <f t="shared" si="11"/>
        <v>0</v>
      </c>
      <c r="AZ20" s="809"/>
      <c r="BA20" s="805">
        <v>0.2</v>
      </c>
      <c r="BB20" s="806" t="str">
        <f t="shared" si="12"/>
        <v>Apoyar la definición e implementación del Plan de Continuidad del Negocio</v>
      </c>
      <c r="BC20" s="810">
        <v>0</v>
      </c>
      <c r="BD20" s="824">
        <f>8/14</f>
        <v>0.5714285714285714</v>
      </c>
      <c r="BE20" s="810">
        <v>0</v>
      </c>
      <c r="BF20" s="807">
        <f t="shared" si="13"/>
        <v>2.8571428571428568</v>
      </c>
      <c r="BG20" s="807" t="e">
        <f t="shared" si="14"/>
        <v>#DIV/0!</v>
      </c>
      <c r="BH20" s="807">
        <f t="shared" si="15"/>
        <v>0.5714285714285714</v>
      </c>
      <c r="BI20" s="807">
        <f t="shared" si="16"/>
        <v>0</v>
      </c>
      <c r="BJ20" s="808" t="s">
        <v>1676</v>
      </c>
      <c r="BK20" s="805">
        <v>0.35</v>
      </c>
      <c r="BL20" s="806" t="str">
        <f t="shared" si="30"/>
        <v>Apoyar la definición e implementación del Plan de Continuidad del Negocio</v>
      </c>
      <c r="BM20" s="810">
        <v>12000000</v>
      </c>
      <c r="BN20" s="918">
        <v>0.42857142857142855</v>
      </c>
      <c r="BO20" s="917">
        <v>12000000</v>
      </c>
      <c r="BP20" s="807">
        <f t="shared" si="17"/>
        <v>1.2244897959183674</v>
      </c>
      <c r="BQ20" s="807">
        <f t="shared" si="18"/>
        <v>1</v>
      </c>
      <c r="BR20" s="807">
        <f t="shared" si="19"/>
        <v>1</v>
      </c>
      <c r="BS20" s="807">
        <f t="shared" si="20"/>
        <v>0.5</v>
      </c>
      <c r="BT20" s="915" t="s">
        <v>1822</v>
      </c>
      <c r="BU20" s="805">
        <v>0</v>
      </c>
      <c r="BV20" s="806" t="str">
        <f t="shared" si="21"/>
        <v>Apoyar la definición e implementación del Plan de Continuidad del Negocio</v>
      </c>
      <c r="BW20" s="810">
        <v>12000000</v>
      </c>
      <c r="BX20" s="1045">
        <v>0</v>
      </c>
      <c r="BY20" s="1043">
        <v>10133333</v>
      </c>
      <c r="BZ20" s="805" t="e">
        <f t="shared" si="22"/>
        <v>#DIV/0!</v>
      </c>
      <c r="CA20" s="805">
        <f t="shared" si="23"/>
        <v>0.8444444166666667</v>
      </c>
      <c r="CB20" s="805">
        <f t="shared" si="24"/>
        <v>1</v>
      </c>
      <c r="CC20" s="805">
        <f t="shared" si="25"/>
        <v>0.92222220833333335</v>
      </c>
      <c r="CD20" s="682" t="s">
        <v>1962</v>
      </c>
      <c r="CE20" s="631">
        <f t="shared" si="2"/>
        <v>0</v>
      </c>
      <c r="CF20" s="631" t="str">
        <f t="shared" si="26"/>
        <v>No Prog ni Ejec</v>
      </c>
      <c r="CG20" s="631">
        <f t="shared" si="3"/>
        <v>2.8571428571428568</v>
      </c>
      <c r="CH20" s="631" t="str">
        <f t="shared" si="27"/>
        <v>No Prog ni Ejec</v>
      </c>
      <c r="CI20" s="631">
        <f t="shared" si="4"/>
        <v>1.2244897959183674</v>
      </c>
      <c r="CJ20" s="631">
        <f t="shared" si="28"/>
        <v>1</v>
      </c>
      <c r="CK20" s="631" t="str">
        <f t="shared" si="5"/>
        <v>No Prog ni Ejec</v>
      </c>
      <c r="CL20" s="685">
        <f t="shared" si="29"/>
        <v>0.8444444166666667</v>
      </c>
      <c r="CM20" s="127">
        <f t="shared" si="6"/>
        <v>0</v>
      </c>
      <c r="CW20" s="121">
        <v>6</v>
      </c>
    </row>
    <row r="21" spans="1:101" s="69" customFormat="1" ht="282" customHeight="1" x14ac:dyDescent="0.2">
      <c r="A21" s="813">
        <v>12000</v>
      </c>
      <c r="B21" s="806" t="s">
        <v>15</v>
      </c>
      <c r="C21" s="806" t="s">
        <v>330</v>
      </c>
      <c r="D21" s="806"/>
      <c r="E21" s="806" t="s">
        <v>1017</v>
      </c>
      <c r="F21" s="806"/>
      <c r="G21" s="806"/>
      <c r="H21" s="806"/>
      <c r="I21" s="806"/>
      <c r="J21" s="806"/>
      <c r="K21" s="806"/>
      <c r="L21" s="806"/>
      <c r="M21" s="806"/>
      <c r="N21" s="806"/>
      <c r="O21" s="806"/>
      <c r="P21" s="806"/>
      <c r="Q21" s="806" t="s">
        <v>204</v>
      </c>
      <c r="R21" s="806" t="s">
        <v>204</v>
      </c>
      <c r="S21" s="814" t="s">
        <v>53</v>
      </c>
      <c r="T21" s="806" t="s">
        <v>94</v>
      </c>
      <c r="U21" s="806" t="s">
        <v>204</v>
      </c>
      <c r="V21" s="806" t="s">
        <v>204</v>
      </c>
      <c r="W21" s="814" t="s">
        <v>882</v>
      </c>
      <c r="X21" s="806" t="s">
        <v>553</v>
      </c>
      <c r="Y21" s="817" t="s">
        <v>390</v>
      </c>
      <c r="Z21" s="66">
        <v>1</v>
      </c>
      <c r="AA21" s="814" t="s">
        <v>880</v>
      </c>
      <c r="AB21" s="806" t="s">
        <v>555</v>
      </c>
      <c r="AC21" s="812">
        <v>50000000</v>
      </c>
      <c r="AD21" s="811">
        <v>1</v>
      </c>
      <c r="AE21" s="806" t="s">
        <v>20</v>
      </c>
      <c r="AF21" s="806" t="s">
        <v>22</v>
      </c>
      <c r="AG21" s="806" t="s">
        <v>204</v>
      </c>
      <c r="AH21" s="806" t="s">
        <v>633</v>
      </c>
      <c r="AI21" s="806" t="s">
        <v>29</v>
      </c>
      <c r="AJ21" s="806" t="s">
        <v>1280</v>
      </c>
      <c r="AK21" s="806" t="s">
        <v>554</v>
      </c>
      <c r="AL21" s="806" t="s">
        <v>204</v>
      </c>
      <c r="AM21" s="67">
        <v>1</v>
      </c>
      <c r="AN21" s="806" t="str">
        <f t="shared" si="7"/>
        <v>Formular un plan estratégico cuatrienal de acuerdo con el Plan Nacional de Desarrollo vigente</v>
      </c>
      <c r="AO21" s="812">
        <f t="shared" si="8"/>
        <v>50000000</v>
      </c>
      <c r="AP21" s="836" t="s">
        <v>48</v>
      </c>
      <c r="AQ21" s="66">
        <v>0</v>
      </c>
      <c r="AR21" s="806" t="str">
        <f t="shared" si="9"/>
        <v>Formular un plan estratégico cuatrienal de acuerdo con el Plan Nacional de Desarrollo vigente</v>
      </c>
      <c r="AS21" s="810">
        <v>0</v>
      </c>
      <c r="AT21" s="817">
        <v>0</v>
      </c>
      <c r="AU21" s="819">
        <v>0</v>
      </c>
      <c r="AV21" s="807" t="e">
        <f t="shared" si="0"/>
        <v>#DIV/0!</v>
      </c>
      <c r="AW21" s="807" t="e">
        <f t="shared" si="10"/>
        <v>#DIV/0!</v>
      </c>
      <c r="AX21" s="807">
        <f t="shared" si="1"/>
        <v>0</v>
      </c>
      <c r="AY21" s="807">
        <f t="shared" si="11"/>
        <v>0</v>
      </c>
      <c r="AZ21" s="806" t="s">
        <v>1369</v>
      </c>
      <c r="BA21" s="66">
        <v>0</v>
      </c>
      <c r="BB21" s="806" t="str">
        <f t="shared" si="12"/>
        <v>Formular un plan estratégico cuatrienal de acuerdo con el Plan Nacional de Desarrollo vigente</v>
      </c>
      <c r="BC21" s="810">
        <v>0</v>
      </c>
      <c r="BD21" s="817">
        <v>0</v>
      </c>
      <c r="BE21" s="810">
        <v>0</v>
      </c>
      <c r="BF21" s="807" t="e">
        <f t="shared" si="13"/>
        <v>#DIV/0!</v>
      </c>
      <c r="BG21" s="807" t="e">
        <f t="shared" si="14"/>
        <v>#DIV/0!</v>
      </c>
      <c r="BH21" s="807">
        <f t="shared" si="15"/>
        <v>0</v>
      </c>
      <c r="BI21" s="807">
        <f t="shared" si="16"/>
        <v>0</v>
      </c>
      <c r="BJ21" s="809"/>
      <c r="BK21" s="66">
        <v>0</v>
      </c>
      <c r="BL21" s="806" t="str">
        <f t="shared" si="30"/>
        <v>Formular un plan estratégico cuatrienal de acuerdo con el Plan Nacional de Desarrollo vigente</v>
      </c>
      <c r="BM21" s="810">
        <v>30000000</v>
      </c>
      <c r="BN21" s="814">
        <v>0</v>
      </c>
      <c r="BO21" s="917">
        <f>8666667+10000000</f>
        <v>18666667</v>
      </c>
      <c r="BP21" s="807" t="e">
        <f t="shared" si="17"/>
        <v>#DIV/0!</v>
      </c>
      <c r="BQ21" s="807">
        <f t="shared" si="18"/>
        <v>0.62222223333333337</v>
      </c>
      <c r="BR21" s="807">
        <f t="shared" si="19"/>
        <v>0</v>
      </c>
      <c r="BS21" s="807">
        <f t="shared" si="20"/>
        <v>0.37333334000000001</v>
      </c>
      <c r="BT21" s="916" t="s">
        <v>1831</v>
      </c>
      <c r="BU21" s="66">
        <v>1</v>
      </c>
      <c r="BV21" s="806" t="str">
        <f t="shared" si="21"/>
        <v>Formular un plan estratégico cuatrienal de acuerdo con el Plan Nacional de Desarrollo vigente</v>
      </c>
      <c r="BW21" s="810">
        <v>20000000</v>
      </c>
      <c r="BX21" s="1044">
        <v>1</v>
      </c>
      <c r="BY21" s="1043">
        <v>30000000</v>
      </c>
      <c r="BZ21" s="805">
        <f t="shared" si="22"/>
        <v>1</v>
      </c>
      <c r="CA21" s="805">
        <f t="shared" si="23"/>
        <v>1.5</v>
      </c>
      <c r="CB21" s="805">
        <f t="shared" si="24"/>
        <v>1</v>
      </c>
      <c r="CC21" s="805">
        <f t="shared" si="25"/>
        <v>0.97333334000000005</v>
      </c>
      <c r="CD21" s="682" t="s">
        <v>1958</v>
      </c>
      <c r="CE21" s="631" t="str">
        <f t="shared" si="2"/>
        <v>No Prog ni Ejec</v>
      </c>
      <c r="CF21" s="631" t="str">
        <f t="shared" si="26"/>
        <v>No Prog ni Ejec</v>
      </c>
      <c r="CG21" s="631" t="str">
        <f t="shared" si="3"/>
        <v>No Prog ni Ejec</v>
      </c>
      <c r="CH21" s="631" t="str">
        <f t="shared" si="27"/>
        <v>No Prog ni Ejec</v>
      </c>
      <c r="CI21" s="631" t="str">
        <f t="shared" si="4"/>
        <v>No Prog ni Ejec</v>
      </c>
      <c r="CJ21" s="631">
        <f t="shared" si="28"/>
        <v>0.62222223333333337</v>
      </c>
      <c r="CK21" s="631">
        <f t="shared" si="5"/>
        <v>1</v>
      </c>
      <c r="CL21" s="685">
        <f t="shared" si="29"/>
        <v>1.5</v>
      </c>
      <c r="CM21" s="127">
        <f t="shared" si="6"/>
        <v>0</v>
      </c>
      <c r="CW21" s="121">
        <v>6</v>
      </c>
    </row>
    <row r="22" spans="1:101" s="69" customFormat="1" ht="260.25" customHeight="1" x14ac:dyDescent="0.2">
      <c r="A22" s="813">
        <v>11900</v>
      </c>
      <c r="B22" s="806" t="s">
        <v>125</v>
      </c>
      <c r="C22" s="806" t="s">
        <v>330</v>
      </c>
      <c r="D22" s="806"/>
      <c r="E22" s="806" t="s">
        <v>1017</v>
      </c>
      <c r="F22" s="806" t="s">
        <v>1017</v>
      </c>
      <c r="G22" s="806"/>
      <c r="H22" s="806"/>
      <c r="I22" s="806"/>
      <c r="J22" s="806"/>
      <c r="K22" s="806"/>
      <c r="L22" s="806"/>
      <c r="M22" s="806"/>
      <c r="N22" s="806"/>
      <c r="O22" s="806"/>
      <c r="P22" s="806"/>
      <c r="Q22" s="806" t="s">
        <v>204</v>
      </c>
      <c r="R22" s="806" t="s">
        <v>204</v>
      </c>
      <c r="S22" s="814" t="s">
        <v>126</v>
      </c>
      <c r="T22" s="806" t="s">
        <v>60</v>
      </c>
      <c r="U22" s="806" t="s">
        <v>204</v>
      </c>
      <c r="V22" s="806" t="s">
        <v>204</v>
      </c>
      <c r="W22" s="814" t="s">
        <v>595</v>
      </c>
      <c r="X22" s="806" t="s">
        <v>483</v>
      </c>
      <c r="Y22" s="817" t="s">
        <v>51</v>
      </c>
      <c r="Z22" s="805">
        <v>1</v>
      </c>
      <c r="AA22" s="814" t="s">
        <v>594</v>
      </c>
      <c r="AB22" s="806" t="s">
        <v>1403</v>
      </c>
      <c r="AC22" s="826">
        <v>265626000</v>
      </c>
      <c r="AD22" s="811">
        <v>1</v>
      </c>
      <c r="AE22" s="806" t="s">
        <v>17</v>
      </c>
      <c r="AF22" s="806" t="s">
        <v>28</v>
      </c>
      <c r="AG22" s="806" t="s">
        <v>204</v>
      </c>
      <c r="AH22" s="806" t="s">
        <v>633</v>
      </c>
      <c r="AI22" s="806" t="s">
        <v>1033</v>
      </c>
      <c r="AJ22" s="806" t="s">
        <v>1281</v>
      </c>
      <c r="AK22" s="806" t="s">
        <v>1525</v>
      </c>
      <c r="AL22" s="806" t="s">
        <v>204</v>
      </c>
      <c r="AM22" s="811">
        <v>1</v>
      </c>
      <c r="AN22" s="806"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812">
        <f t="shared" si="8"/>
        <v>265626000</v>
      </c>
      <c r="AP22" s="836" t="s">
        <v>46</v>
      </c>
      <c r="AQ22" s="805">
        <v>0</v>
      </c>
      <c r="AR22" s="806"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810">
        <v>0</v>
      </c>
      <c r="AT22" s="1071">
        <v>0</v>
      </c>
      <c r="AU22" s="524">
        <v>20626000</v>
      </c>
      <c r="AV22" s="807" t="e">
        <f t="shared" si="0"/>
        <v>#DIV/0!</v>
      </c>
      <c r="AW22" s="807" t="e">
        <f t="shared" si="10"/>
        <v>#DIV/0!</v>
      </c>
      <c r="AX22" s="807">
        <f t="shared" si="1"/>
        <v>0</v>
      </c>
      <c r="AY22" s="807">
        <f t="shared" si="11"/>
        <v>7.7650531198000194E-2</v>
      </c>
      <c r="AZ22" s="461" t="s">
        <v>1384</v>
      </c>
      <c r="BA22" s="805">
        <v>0</v>
      </c>
      <c r="BB22" s="806"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810">
        <v>0</v>
      </c>
      <c r="BD22" s="824">
        <v>0</v>
      </c>
      <c r="BE22" s="810">
        <v>110000000</v>
      </c>
      <c r="BF22" s="807" t="e">
        <f t="shared" si="13"/>
        <v>#DIV/0!</v>
      </c>
      <c r="BG22" s="807" t="e">
        <f t="shared" si="14"/>
        <v>#DIV/0!</v>
      </c>
      <c r="BH22" s="807">
        <f t="shared" si="15"/>
        <v>0</v>
      </c>
      <c r="BI22" s="807">
        <f t="shared" si="16"/>
        <v>0.49176661923155113</v>
      </c>
      <c r="BJ22" s="809" t="s">
        <v>1702</v>
      </c>
      <c r="BK22" s="805">
        <v>0</v>
      </c>
      <c r="BL22" s="806"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810">
        <f>+AO22*BK22</f>
        <v>0</v>
      </c>
      <c r="BN22" s="944">
        <v>0</v>
      </c>
      <c r="BO22" s="946">
        <v>0</v>
      </c>
      <c r="BP22" s="807" t="e">
        <f>+(BN22/BK22)</f>
        <v>#DIV/0!</v>
      </c>
      <c r="BQ22" s="807" t="e">
        <f t="shared" si="18"/>
        <v>#DIV/0!</v>
      </c>
      <c r="BR22" s="807">
        <f t="shared" si="19"/>
        <v>0</v>
      </c>
      <c r="BS22" s="807">
        <f t="shared" si="20"/>
        <v>0.49176661923155113</v>
      </c>
      <c r="BT22" s="459" t="s">
        <v>1925</v>
      </c>
      <c r="BU22" s="805">
        <v>1</v>
      </c>
      <c r="BV22" s="806"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810">
        <f>+AO22*BU22</f>
        <v>265626000</v>
      </c>
      <c r="BX22" s="1070">
        <f>(5/5*100%)</f>
        <v>1</v>
      </c>
      <c r="BY22" s="1064">
        <v>0</v>
      </c>
      <c r="BZ22" s="805">
        <f>+(BX22/BU22)</f>
        <v>1</v>
      </c>
      <c r="CA22" s="805">
        <f t="shared" si="23"/>
        <v>0</v>
      </c>
      <c r="CB22" s="805">
        <f>+(BD22+AT22+BN22+BX22)/AM22</f>
        <v>1</v>
      </c>
      <c r="CC22" s="805">
        <f t="shared" si="25"/>
        <v>0.49176661923155113</v>
      </c>
      <c r="CD22" s="465" t="s">
        <v>2028</v>
      </c>
      <c r="CE22" s="631" t="str">
        <f t="shared" si="2"/>
        <v>No Prog ni Ejec</v>
      </c>
      <c r="CF22" s="631" t="str">
        <f t="shared" si="26"/>
        <v>No Prog, Ejec=  20626000</v>
      </c>
      <c r="CG22" s="631" t="str">
        <f t="shared" si="3"/>
        <v>No Prog ni Ejec</v>
      </c>
      <c r="CH22" s="631" t="str">
        <f t="shared" si="27"/>
        <v>No Prog, Ejec=  110000000</v>
      </c>
      <c r="CI22" s="631" t="str">
        <f t="shared" si="4"/>
        <v>No Prog ni Ejec</v>
      </c>
      <c r="CJ22" s="631" t="str">
        <f t="shared" si="28"/>
        <v>No Prog ni Ejec</v>
      </c>
      <c r="CK22" s="631">
        <f t="shared" si="5"/>
        <v>1</v>
      </c>
      <c r="CL22" s="685">
        <f t="shared" si="29"/>
        <v>0</v>
      </c>
      <c r="CM22" s="127">
        <f t="shared" si="6"/>
        <v>0</v>
      </c>
      <c r="CW22" s="121">
        <v>6</v>
      </c>
    </row>
    <row r="23" spans="1:101" s="69" customFormat="1" ht="127.5" x14ac:dyDescent="0.2">
      <c r="A23" s="813">
        <v>11900</v>
      </c>
      <c r="B23" s="806" t="s">
        <v>125</v>
      </c>
      <c r="C23" s="806" t="s">
        <v>330</v>
      </c>
      <c r="D23" s="806"/>
      <c r="E23" s="806" t="s">
        <v>1017</v>
      </c>
      <c r="F23" s="806" t="s">
        <v>1017</v>
      </c>
      <c r="G23" s="806"/>
      <c r="H23" s="806"/>
      <c r="I23" s="806"/>
      <c r="J23" s="806"/>
      <c r="K23" s="806"/>
      <c r="L23" s="806"/>
      <c r="M23" s="806"/>
      <c r="N23" s="806"/>
      <c r="O23" s="806"/>
      <c r="P23" s="806"/>
      <c r="Q23" s="806" t="s">
        <v>204</v>
      </c>
      <c r="R23" s="806" t="s">
        <v>204</v>
      </c>
      <c r="S23" s="814" t="s">
        <v>126</v>
      </c>
      <c r="T23" s="806" t="s">
        <v>60</v>
      </c>
      <c r="U23" s="806" t="s">
        <v>204</v>
      </c>
      <c r="V23" s="806" t="s">
        <v>204</v>
      </c>
      <c r="W23" s="814" t="s">
        <v>599</v>
      </c>
      <c r="X23" s="806" t="s">
        <v>488</v>
      </c>
      <c r="Y23" s="817" t="s">
        <v>51</v>
      </c>
      <c r="Z23" s="805">
        <v>1</v>
      </c>
      <c r="AA23" s="814" t="s">
        <v>598</v>
      </c>
      <c r="AB23" s="836" t="s">
        <v>888</v>
      </c>
      <c r="AC23" s="826">
        <f>61642068+100000000</f>
        <v>161642068</v>
      </c>
      <c r="AD23" s="811">
        <v>1</v>
      </c>
      <c r="AE23" s="806" t="s">
        <v>17</v>
      </c>
      <c r="AF23" s="806" t="s">
        <v>28</v>
      </c>
      <c r="AG23" s="806" t="s">
        <v>204</v>
      </c>
      <c r="AH23" s="806" t="s">
        <v>633</v>
      </c>
      <c r="AI23" s="806" t="s">
        <v>1033</v>
      </c>
      <c r="AJ23" s="806" t="s">
        <v>1281</v>
      </c>
      <c r="AK23" s="806" t="s">
        <v>1539</v>
      </c>
      <c r="AL23" s="806" t="s">
        <v>204</v>
      </c>
      <c r="AM23" s="811">
        <v>1</v>
      </c>
      <c r="AN23" s="806"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812">
        <f t="shared" si="8"/>
        <v>161642068</v>
      </c>
      <c r="AP23" s="836" t="s">
        <v>46</v>
      </c>
      <c r="AQ23" s="805">
        <v>0.25</v>
      </c>
      <c r="AR23" s="806"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810">
        <f>+AO23/4</f>
        <v>40410517</v>
      </c>
      <c r="AT23" s="525">
        <f>(10/13)*(25/100)</f>
        <v>0.19230769230769232</v>
      </c>
      <c r="AU23" s="810">
        <v>11472273</v>
      </c>
      <c r="AV23" s="807">
        <f t="shared" si="0"/>
        <v>0.76923076923076927</v>
      </c>
      <c r="AW23" s="807">
        <f t="shared" si="10"/>
        <v>0.28389324986859238</v>
      </c>
      <c r="AX23" s="807">
        <f t="shared" si="1"/>
        <v>0.19230769230769232</v>
      </c>
      <c r="AY23" s="807">
        <f t="shared" si="11"/>
        <v>7.0973312467148095E-2</v>
      </c>
      <c r="AZ23" s="526" t="s">
        <v>1385</v>
      </c>
      <c r="BA23" s="805">
        <v>0.25</v>
      </c>
      <c r="BB23" s="806"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810">
        <f>+AO23/4</f>
        <v>40410517</v>
      </c>
      <c r="BD23" s="488">
        <f>(12/14*25%)</f>
        <v>0.21428571428571427</v>
      </c>
      <c r="BE23" s="810">
        <v>15410517</v>
      </c>
      <c r="BF23" s="807">
        <f t="shared" si="13"/>
        <v>0.8571428571428571</v>
      </c>
      <c r="BG23" s="807">
        <f t="shared" si="14"/>
        <v>0.38134916709924793</v>
      </c>
      <c r="BH23" s="807">
        <f t="shared" si="15"/>
        <v>0.40659340659340659</v>
      </c>
      <c r="BI23" s="807">
        <f t="shared" si="16"/>
        <v>0.16631060424196009</v>
      </c>
      <c r="BJ23" s="809"/>
      <c r="BK23" s="805">
        <v>0.25</v>
      </c>
      <c r="BL23" s="806"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810">
        <f>+AO23/4</f>
        <v>40410517</v>
      </c>
      <c r="BN23" s="954">
        <v>0.25</v>
      </c>
      <c r="BO23" s="962">
        <v>15410517</v>
      </c>
      <c r="BP23" s="807">
        <f t="shared" si="17"/>
        <v>1</v>
      </c>
      <c r="BQ23" s="807">
        <f t="shared" si="18"/>
        <v>0.38134916709924793</v>
      </c>
      <c r="BR23" s="807">
        <f t="shared" si="19"/>
        <v>0.65659340659340659</v>
      </c>
      <c r="BS23" s="807">
        <f t="shared" si="20"/>
        <v>0.26164789601677207</v>
      </c>
      <c r="BT23" s="947" t="s">
        <v>1926</v>
      </c>
      <c r="BU23" s="805">
        <v>0.25</v>
      </c>
      <c r="BV23" s="806"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810">
        <f>+AO23/4</f>
        <v>40410517</v>
      </c>
      <c r="BX23" s="1067">
        <v>0.25</v>
      </c>
      <c r="BY23" s="1064">
        <v>18572000</v>
      </c>
      <c r="BZ23" s="805">
        <f t="shared" si="22"/>
        <v>1</v>
      </c>
      <c r="CA23" s="805">
        <f t="shared" si="23"/>
        <v>0.45958333074531066</v>
      </c>
      <c r="CB23" s="805">
        <f t="shared" si="24"/>
        <v>0.90659340659340659</v>
      </c>
      <c r="CC23" s="805">
        <f t="shared" si="25"/>
        <v>0.37654372870309977</v>
      </c>
      <c r="CD23" s="682" t="s">
        <v>2029</v>
      </c>
      <c r="CE23" s="631">
        <f t="shared" si="2"/>
        <v>0.76923076923076927</v>
      </c>
      <c r="CF23" s="631">
        <f t="shared" si="26"/>
        <v>0.28389324986859238</v>
      </c>
      <c r="CG23" s="631">
        <f t="shared" si="3"/>
        <v>0.8571428571428571</v>
      </c>
      <c r="CH23" s="631">
        <f t="shared" si="27"/>
        <v>0.38134916709924793</v>
      </c>
      <c r="CI23" s="631">
        <f t="shared" si="4"/>
        <v>1</v>
      </c>
      <c r="CJ23" s="631">
        <f t="shared" si="28"/>
        <v>0.38134916709924793</v>
      </c>
      <c r="CK23" s="631">
        <f t="shared" si="5"/>
        <v>1</v>
      </c>
      <c r="CL23" s="685">
        <f t="shared" si="29"/>
        <v>0.45958333074531066</v>
      </c>
      <c r="CM23" s="127">
        <f t="shared" si="6"/>
        <v>0</v>
      </c>
      <c r="CW23" s="121">
        <v>6</v>
      </c>
    </row>
    <row r="24" spans="1:101" s="69" customFormat="1" ht="204" x14ac:dyDescent="0.2">
      <c r="A24" s="813">
        <v>11900</v>
      </c>
      <c r="B24" s="806" t="s">
        <v>125</v>
      </c>
      <c r="C24" s="806" t="s">
        <v>330</v>
      </c>
      <c r="D24" s="806"/>
      <c r="E24" s="806" t="s">
        <v>1017</v>
      </c>
      <c r="F24" s="806" t="s">
        <v>1017</v>
      </c>
      <c r="G24" s="806"/>
      <c r="H24" s="806"/>
      <c r="I24" s="806"/>
      <c r="J24" s="806"/>
      <c r="K24" s="806"/>
      <c r="L24" s="806"/>
      <c r="M24" s="806"/>
      <c r="N24" s="806"/>
      <c r="O24" s="806"/>
      <c r="P24" s="806"/>
      <c r="Q24" s="806" t="s">
        <v>204</v>
      </c>
      <c r="R24" s="806" t="s">
        <v>204</v>
      </c>
      <c r="S24" s="814" t="s">
        <v>126</v>
      </c>
      <c r="T24" s="806" t="s">
        <v>60</v>
      </c>
      <c r="U24" s="806" t="s">
        <v>204</v>
      </c>
      <c r="V24" s="806" t="s">
        <v>204</v>
      </c>
      <c r="W24" s="814" t="s">
        <v>651</v>
      </c>
      <c r="X24" s="806" t="s">
        <v>437</v>
      </c>
      <c r="Y24" s="817" t="s">
        <v>169</v>
      </c>
      <c r="Z24" s="805">
        <v>1</v>
      </c>
      <c r="AA24" s="814" t="s">
        <v>128</v>
      </c>
      <c r="AB24" s="806" t="s">
        <v>436</v>
      </c>
      <c r="AC24" s="826">
        <v>150000000</v>
      </c>
      <c r="AD24" s="811">
        <v>1</v>
      </c>
      <c r="AE24" s="806" t="s">
        <v>17</v>
      </c>
      <c r="AF24" s="806" t="s">
        <v>28</v>
      </c>
      <c r="AG24" s="806" t="s">
        <v>204</v>
      </c>
      <c r="AH24" s="806" t="s">
        <v>633</v>
      </c>
      <c r="AI24" s="806" t="s">
        <v>1033</v>
      </c>
      <c r="AJ24" s="806" t="s">
        <v>1281</v>
      </c>
      <c r="AK24" s="806" t="s">
        <v>1527</v>
      </c>
      <c r="AL24" s="806" t="s">
        <v>204</v>
      </c>
      <c r="AM24" s="811">
        <v>1</v>
      </c>
      <c r="AN24" s="806"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812">
        <f t="shared" si="8"/>
        <v>150000000</v>
      </c>
      <c r="AP24" s="836" t="s">
        <v>46</v>
      </c>
      <c r="AQ24" s="805">
        <v>0.25</v>
      </c>
      <c r="AR24" s="806"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810">
        <f>+AO24/4</f>
        <v>37500000</v>
      </c>
      <c r="AT24" s="811">
        <v>0</v>
      </c>
      <c r="AU24" s="810">
        <v>0</v>
      </c>
      <c r="AV24" s="807">
        <f t="shared" si="0"/>
        <v>0</v>
      </c>
      <c r="AW24" s="807">
        <f t="shared" si="10"/>
        <v>0</v>
      </c>
      <c r="AX24" s="807">
        <f t="shared" si="1"/>
        <v>0</v>
      </c>
      <c r="AY24" s="807">
        <f t="shared" si="11"/>
        <v>0</v>
      </c>
      <c r="AZ24" s="527" t="s">
        <v>1386</v>
      </c>
      <c r="BA24" s="805">
        <v>0</v>
      </c>
      <c r="BB24" s="806"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810">
        <f>+AO24/4</f>
        <v>37500000</v>
      </c>
      <c r="BD24" s="827" t="s">
        <v>204</v>
      </c>
      <c r="BE24" s="810">
        <v>0</v>
      </c>
      <c r="BF24" s="807" t="e">
        <f>+(BD24/BA24)</f>
        <v>#VALUE!</v>
      </c>
      <c r="BG24" s="807">
        <f t="shared" si="14"/>
        <v>0</v>
      </c>
      <c r="BH24" s="807">
        <f>+(AT24)/AM24</f>
        <v>0</v>
      </c>
      <c r="BI24" s="807">
        <f t="shared" si="16"/>
        <v>0</v>
      </c>
      <c r="BJ24" s="809" t="s">
        <v>1703</v>
      </c>
      <c r="BK24" s="805">
        <v>0</v>
      </c>
      <c r="BL24" s="806"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810">
        <f>+AO24/4</f>
        <v>37500000</v>
      </c>
      <c r="BN24" s="955" t="s">
        <v>204</v>
      </c>
      <c r="BO24" s="946">
        <v>0</v>
      </c>
      <c r="BP24" s="807" t="e">
        <f>+(BN24/BK24)</f>
        <v>#VALUE!</v>
      </c>
      <c r="BQ24" s="807">
        <f t="shared" si="18"/>
        <v>0</v>
      </c>
      <c r="BR24" s="807">
        <f>+(AT24/AM24)</f>
        <v>0</v>
      </c>
      <c r="BS24" s="807">
        <f t="shared" si="20"/>
        <v>0</v>
      </c>
      <c r="BT24" s="952" t="s">
        <v>1927</v>
      </c>
      <c r="BU24" s="805">
        <v>0.75</v>
      </c>
      <c r="BV24" s="806"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810">
        <f>+AO24/4</f>
        <v>37500000</v>
      </c>
      <c r="BX24" s="1067" t="s">
        <v>2027</v>
      </c>
      <c r="BY24" s="1064">
        <v>0</v>
      </c>
      <c r="BZ24" s="805" t="e">
        <f>+(BX24/BU24)</f>
        <v>#VALUE!</v>
      </c>
      <c r="CA24" s="805">
        <f t="shared" si="23"/>
        <v>0</v>
      </c>
      <c r="CB24" s="805">
        <f>+(AT24)/AM24</f>
        <v>0</v>
      </c>
      <c r="CC24" s="805">
        <f t="shared" si="25"/>
        <v>0</v>
      </c>
      <c r="CD24" s="465" t="s">
        <v>2030</v>
      </c>
      <c r="CE24" s="631">
        <f t="shared" si="2"/>
        <v>0</v>
      </c>
      <c r="CF24" s="631">
        <f t="shared" si="26"/>
        <v>0</v>
      </c>
      <c r="CG24" s="631" t="str">
        <f t="shared" si="3"/>
        <v>No Prog, Ejec=  N.A</v>
      </c>
      <c r="CH24" s="631">
        <f t="shared" si="27"/>
        <v>0</v>
      </c>
      <c r="CI24" s="631" t="str">
        <f t="shared" si="4"/>
        <v>No Prog, Ejec=  N.A</v>
      </c>
      <c r="CJ24" s="631">
        <f t="shared" si="28"/>
        <v>0</v>
      </c>
      <c r="CK24" s="631" t="e">
        <f t="shared" si="5"/>
        <v>#VALUE!</v>
      </c>
      <c r="CL24" s="685">
        <f t="shared" si="29"/>
        <v>0</v>
      </c>
      <c r="CM24" s="127">
        <f t="shared" si="6"/>
        <v>0</v>
      </c>
      <c r="CW24" s="121">
        <v>6</v>
      </c>
    </row>
    <row r="25" spans="1:101" s="69" customFormat="1" ht="369.75" x14ac:dyDescent="0.2">
      <c r="A25" s="813">
        <v>11900</v>
      </c>
      <c r="B25" s="806" t="s">
        <v>125</v>
      </c>
      <c r="C25" s="806" t="s">
        <v>330</v>
      </c>
      <c r="D25" s="806"/>
      <c r="E25" s="806" t="s">
        <v>1017</v>
      </c>
      <c r="F25" s="806" t="s">
        <v>1017</v>
      </c>
      <c r="G25" s="806"/>
      <c r="H25" s="806"/>
      <c r="I25" s="806"/>
      <c r="J25" s="806"/>
      <c r="K25" s="806"/>
      <c r="L25" s="806"/>
      <c r="M25" s="806"/>
      <c r="N25" s="806"/>
      <c r="O25" s="806"/>
      <c r="P25" s="806"/>
      <c r="Q25" s="806" t="s">
        <v>204</v>
      </c>
      <c r="R25" s="806" t="s">
        <v>204</v>
      </c>
      <c r="S25" s="814" t="s">
        <v>126</v>
      </c>
      <c r="T25" s="806" t="s">
        <v>60</v>
      </c>
      <c r="U25" s="806" t="s">
        <v>204</v>
      </c>
      <c r="V25" s="806" t="s">
        <v>204</v>
      </c>
      <c r="W25" s="814" t="s">
        <v>618</v>
      </c>
      <c r="X25" s="806" t="s">
        <v>177</v>
      </c>
      <c r="Y25" s="817" t="s">
        <v>51</v>
      </c>
      <c r="Z25" s="805">
        <v>1</v>
      </c>
      <c r="AA25" s="814" t="s">
        <v>613</v>
      </c>
      <c r="AB25" s="836" t="s">
        <v>886</v>
      </c>
      <c r="AC25" s="826">
        <v>180000000</v>
      </c>
      <c r="AD25" s="811">
        <v>1</v>
      </c>
      <c r="AE25" s="806" t="s">
        <v>17</v>
      </c>
      <c r="AF25" s="806" t="s">
        <v>28</v>
      </c>
      <c r="AG25" s="806" t="s">
        <v>204</v>
      </c>
      <c r="AH25" s="806" t="s">
        <v>633</v>
      </c>
      <c r="AI25" s="806" t="s">
        <v>1033</v>
      </c>
      <c r="AJ25" s="806" t="s">
        <v>1281</v>
      </c>
      <c r="AK25" s="806" t="s">
        <v>1529</v>
      </c>
      <c r="AL25" s="806" t="s">
        <v>204</v>
      </c>
      <c r="AM25" s="811">
        <v>1</v>
      </c>
      <c r="AN25" s="806" t="str">
        <f>+AB25</f>
        <v>Realizar vigilancia judicial y radicación de documentos en cada uno de los procesos que cursan en los despachos judiciales en contra de ADRES</v>
      </c>
      <c r="AO25" s="812">
        <f t="shared" si="8"/>
        <v>180000000</v>
      </c>
      <c r="AP25" s="836" t="s">
        <v>46</v>
      </c>
      <c r="AQ25" s="805">
        <v>0.25</v>
      </c>
      <c r="AR25" s="806" t="str">
        <f t="shared" si="9"/>
        <v>Realizar vigilancia judicial y radicación de documentos en cada uno de los procesos que cursan en los despachos judiciales en contra de ADRES</v>
      </c>
      <c r="AS25" s="810">
        <f>+AO25/4</f>
        <v>45000000</v>
      </c>
      <c r="AT25" s="811">
        <v>0</v>
      </c>
      <c r="AU25" s="524">
        <v>0</v>
      </c>
      <c r="AV25" s="807">
        <f t="shared" si="0"/>
        <v>0</v>
      </c>
      <c r="AW25" s="807">
        <f t="shared" si="10"/>
        <v>0</v>
      </c>
      <c r="AX25" s="807">
        <f t="shared" si="1"/>
        <v>0</v>
      </c>
      <c r="AY25" s="807">
        <f t="shared" si="11"/>
        <v>0</v>
      </c>
      <c r="AZ25" s="527" t="s">
        <v>1387</v>
      </c>
      <c r="BA25" s="805">
        <v>0.25</v>
      </c>
      <c r="BB25" s="806" t="str">
        <f t="shared" si="12"/>
        <v>Realizar vigilancia judicial y radicación de documentos en cada uno de los procesos que cursan en los despachos judiciales en contra de ADRES</v>
      </c>
      <c r="BC25" s="810">
        <f>+AO25/4</f>
        <v>45000000</v>
      </c>
      <c r="BD25" s="824">
        <f>(1753/1753*25%)</f>
        <v>0.25</v>
      </c>
      <c r="BE25" s="810">
        <v>42821257.710000001</v>
      </c>
      <c r="BF25" s="807">
        <f t="shared" si="13"/>
        <v>1</v>
      </c>
      <c r="BG25" s="807">
        <f t="shared" si="14"/>
        <v>0.95158350466666664</v>
      </c>
      <c r="BH25" s="807">
        <f t="shared" si="15"/>
        <v>0.25</v>
      </c>
      <c r="BI25" s="807">
        <f t="shared" si="16"/>
        <v>0.23789587616666666</v>
      </c>
      <c r="BJ25" s="808" t="s">
        <v>1704</v>
      </c>
      <c r="BK25" s="805">
        <v>0.25</v>
      </c>
      <c r="BL25" s="806" t="str">
        <f t="shared" si="30"/>
        <v>Realizar vigilancia judicial y radicación de documentos en cada uno de los procesos que cursan en los despachos judiciales en contra de ADRES</v>
      </c>
      <c r="BM25" s="810">
        <f>+AO25/4</f>
        <v>45000000</v>
      </c>
      <c r="BN25" s="954">
        <f>(2746/2746*25%)</f>
        <v>0.25</v>
      </c>
      <c r="BO25" s="946">
        <v>69155769</v>
      </c>
      <c r="BP25" s="807">
        <f t="shared" si="17"/>
        <v>1</v>
      </c>
      <c r="BQ25" s="807">
        <f t="shared" si="18"/>
        <v>1.5367948666666666</v>
      </c>
      <c r="BR25" s="807">
        <f t="shared" si="19"/>
        <v>0.5</v>
      </c>
      <c r="BS25" s="807">
        <f t="shared" si="20"/>
        <v>0.62209459283333335</v>
      </c>
      <c r="BT25" s="952" t="s">
        <v>1928</v>
      </c>
      <c r="BU25" s="805">
        <v>0.25</v>
      </c>
      <c r="BV25" s="806" t="str">
        <f t="shared" si="21"/>
        <v>Realizar vigilancia judicial y radicación de documentos en cada uno de los procesos que cursan en los despachos judiciales en contra de ADRES</v>
      </c>
      <c r="BW25" s="810">
        <f>+AO25/4</f>
        <v>45000000</v>
      </c>
      <c r="BX25" s="461">
        <f>(3274/3274*25%)</f>
        <v>0.25</v>
      </c>
      <c r="BY25" s="1064">
        <v>68021773</v>
      </c>
      <c r="BZ25" s="805">
        <f t="shared" si="22"/>
        <v>1</v>
      </c>
      <c r="CA25" s="805">
        <f t="shared" si="23"/>
        <v>1.5115949555555555</v>
      </c>
      <c r="CB25" s="805">
        <f t="shared" si="24"/>
        <v>0.75</v>
      </c>
      <c r="CC25" s="805">
        <f t="shared" si="25"/>
        <v>0.99999333172222227</v>
      </c>
      <c r="CD25" s="465" t="s">
        <v>2031</v>
      </c>
      <c r="CE25" s="631">
        <f t="shared" si="2"/>
        <v>0</v>
      </c>
      <c r="CF25" s="631">
        <f t="shared" si="26"/>
        <v>0</v>
      </c>
      <c r="CG25" s="631">
        <f t="shared" si="3"/>
        <v>1</v>
      </c>
      <c r="CH25" s="631">
        <f t="shared" si="27"/>
        <v>0.95158350466666664</v>
      </c>
      <c r="CI25" s="631">
        <f t="shared" si="4"/>
        <v>1</v>
      </c>
      <c r="CJ25" s="631">
        <f t="shared" si="28"/>
        <v>1.5367948666666666</v>
      </c>
      <c r="CK25" s="631">
        <f t="shared" si="5"/>
        <v>1</v>
      </c>
      <c r="CL25" s="685">
        <f t="shared" si="29"/>
        <v>1.5115949555555555</v>
      </c>
      <c r="CM25" s="127">
        <f t="shared" si="6"/>
        <v>0</v>
      </c>
      <c r="CW25" s="121">
        <v>6</v>
      </c>
    </row>
    <row r="26" spans="1:101" s="69" customFormat="1" ht="127.5" x14ac:dyDescent="0.2">
      <c r="A26" s="813">
        <v>11900</v>
      </c>
      <c r="B26" s="806" t="s">
        <v>125</v>
      </c>
      <c r="C26" s="806" t="s">
        <v>330</v>
      </c>
      <c r="D26" s="806"/>
      <c r="E26" s="806" t="s">
        <v>1017</v>
      </c>
      <c r="F26" s="806" t="s">
        <v>1017</v>
      </c>
      <c r="G26" s="806"/>
      <c r="H26" s="806"/>
      <c r="I26" s="806"/>
      <c r="J26" s="806"/>
      <c r="K26" s="806"/>
      <c r="L26" s="806"/>
      <c r="M26" s="806"/>
      <c r="N26" s="806"/>
      <c r="O26" s="806"/>
      <c r="P26" s="806"/>
      <c r="Q26" s="806" t="s">
        <v>204</v>
      </c>
      <c r="R26" s="806" t="s">
        <v>204</v>
      </c>
      <c r="S26" s="814" t="s">
        <v>126</v>
      </c>
      <c r="T26" s="806" t="s">
        <v>60</v>
      </c>
      <c r="U26" s="806" t="s">
        <v>204</v>
      </c>
      <c r="V26" s="806" t="s">
        <v>204</v>
      </c>
      <c r="W26" s="814" t="s">
        <v>615</v>
      </c>
      <c r="X26" s="806" t="s">
        <v>438</v>
      </c>
      <c r="Y26" s="836" t="s">
        <v>51</v>
      </c>
      <c r="Z26" s="805">
        <v>1</v>
      </c>
      <c r="AA26" s="1210" t="s">
        <v>614</v>
      </c>
      <c r="AB26" s="1351" t="s">
        <v>354</v>
      </c>
      <c r="AC26" s="1310">
        <v>53164884</v>
      </c>
      <c r="AD26" s="811">
        <v>1</v>
      </c>
      <c r="AE26" s="806" t="s">
        <v>17</v>
      </c>
      <c r="AF26" s="806" t="s">
        <v>28</v>
      </c>
      <c r="AG26" s="806" t="s">
        <v>204</v>
      </c>
      <c r="AH26" s="806" t="s">
        <v>633</v>
      </c>
      <c r="AI26" s="806" t="s">
        <v>1033</v>
      </c>
      <c r="AJ26" s="1201" t="s">
        <v>1281</v>
      </c>
      <c r="AK26" s="806" t="s">
        <v>887</v>
      </c>
      <c r="AL26" s="806" t="s">
        <v>204</v>
      </c>
      <c r="AM26" s="805">
        <v>1</v>
      </c>
      <c r="AN26" s="1201" t="str">
        <f>+AB26</f>
        <v>Apoyar a la Oficina Asesora Jurídica en la administración de la plataforma Ekogui, y demás actuaciones necesarias para gestionar y lograr el pago de las sentencias condenatorias y conciliaciones.</v>
      </c>
      <c r="AO26" s="1207">
        <f t="shared" si="8"/>
        <v>53164884</v>
      </c>
      <c r="AP26" s="836" t="s">
        <v>46</v>
      </c>
      <c r="AQ26" s="805">
        <v>0</v>
      </c>
      <c r="AR26" s="1201" t="str">
        <f t="shared" si="9"/>
        <v>Apoyar a la Oficina Asesora Jurídica en la administración de la plataforma Ekogui, y demás actuaciones necesarias para gestionar y lograr el pago de las sentencias condenatorias y conciliaciones.</v>
      </c>
      <c r="AS26" s="1205">
        <f>+AO26/4</f>
        <v>13291221</v>
      </c>
      <c r="AT26" s="811">
        <f>(1/1)*0%</f>
        <v>0</v>
      </c>
      <c r="AU26" s="1210" t="s">
        <v>1381</v>
      </c>
      <c r="AV26" s="807" t="e">
        <f t="shared" si="0"/>
        <v>#DIV/0!</v>
      </c>
      <c r="AW26" s="1202">
        <f t="shared" si="10"/>
        <v>0.58888886130175699</v>
      </c>
      <c r="AX26" s="807">
        <f t="shared" si="1"/>
        <v>0</v>
      </c>
      <c r="AY26" s="1202">
        <f t="shared" si="11"/>
        <v>0.14722221532543925</v>
      </c>
      <c r="AZ26" s="527" t="s">
        <v>1388</v>
      </c>
      <c r="BA26" s="805">
        <v>0.5</v>
      </c>
      <c r="BB26" s="1201" t="str">
        <f t="shared" si="12"/>
        <v>Apoyar a la Oficina Asesora Jurídica en la administración de la plataforma Ekogui, y demás actuaciones necesarias para gestionar y lograr el pago de las sentencias condenatorias y conciliaciones.</v>
      </c>
      <c r="BC26" s="1205">
        <f>+AO26/4</f>
        <v>13291221</v>
      </c>
      <c r="BD26" s="824">
        <f>(5/5*50%)</f>
        <v>0.5</v>
      </c>
      <c r="BE26" s="1205">
        <v>13291221</v>
      </c>
      <c r="BF26" s="807">
        <f t="shared" si="13"/>
        <v>1</v>
      </c>
      <c r="BG26" s="1202">
        <f t="shared" si="14"/>
        <v>1</v>
      </c>
      <c r="BH26" s="807">
        <f t="shared" si="15"/>
        <v>0.5</v>
      </c>
      <c r="BI26" s="1202">
        <f t="shared" si="16"/>
        <v>0.39722221532543928</v>
      </c>
      <c r="BJ26" s="808" t="s">
        <v>1705</v>
      </c>
      <c r="BK26" s="805">
        <v>0.25</v>
      </c>
      <c r="BL26" s="1201" t="str">
        <f t="shared" si="30"/>
        <v>Apoyar a la Oficina Asesora Jurídica en la administración de la plataforma Ekogui, y demás actuaciones necesarias para gestionar y lograr el pago de las sentencias condenatorias y conciliaciones.</v>
      </c>
      <c r="BM26" s="1205">
        <f>+AO26/4</f>
        <v>13291221</v>
      </c>
      <c r="BN26" s="954">
        <f>(5/5*25%)</f>
        <v>0.25</v>
      </c>
      <c r="BO26" s="1205">
        <v>13291221</v>
      </c>
      <c r="BP26" s="807">
        <f t="shared" si="17"/>
        <v>1</v>
      </c>
      <c r="BQ26" s="1202">
        <f t="shared" si="18"/>
        <v>1</v>
      </c>
      <c r="BR26" s="807">
        <f t="shared" si="19"/>
        <v>0.75</v>
      </c>
      <c r="BS26" s="1202">
        <f t="shared" si="20"/>
        <v>0.64722221532543922</v>
      </c>
      <c r="BT26" s="952" t="s">
        <v>1929</v>
      </c>
      <c r="BU26" s="805">
        <v>0.25</v>
      </c>
      <c r="BV26" s="1201" t="str">
        <f t="shared" si="21"/>
        <v>Apoyar a la Oficina Asesora Jurídica en la administración de la plataforma Ekogui, y demás actuaciones necesarias para gestionar y lograr el pago de las sentencias condenatorias y conciliaciones.</v>
      </c>
      <c r="BW26" s="1205">
        <f>+AO26/4</f>
        <v>13291221</v>
      </c>
      <c r="BX26" s="1070">
        <f>(10/10*25%)</f>
        <v>0.25</v>
      </c>
      <c r="BY26" s="1205">
        <v>6248483</v>
      </c>
      <c r="BZ26" s="805">
        <f t="shared" si="22"/>
        <v>1</v>
      </c>
      <c r="CA26" s="1199">
        <f t="shared" si="23"/>
        <v>0.47012106713145468</v>
      </c>
      <c r="CB26" s="805">
        <f t="shared" si="24"/>
        <v>1</v>
      </c>
      <c r="CC26" s="1199">
        <f t="shared" si="25"/>
        <v>0.76475248210830293</v>
      </c>
      <c r="CD26" s="70" t="s">
        <v>2032</v>
      </c>
      <c r="CE26" s="631" t="str">
        <f t="shared" si="2"/>
        <v>No Prog ni Ejec</v>
      </c>
      <c r="CF26" s="1263">
        <f t="shared" si="26"/>
        <v>0.58888886130175699</v>
      </c>
      <c r="CG26" s="631">
        <f t="shared" si="3"/>
        <v>1</v>
      </c>
      <c r="CH26" s="1263">
        <f t="shared" si="27"/>
        <v>1</v>
      </c>
      <c r="CI26" s="631">
        <f t="shared" si="4"/>
        <v>1</v>
      </c>
      <c r="CJ26" s="1263">
        <f t="shared" si="28"/>
        <v>1</v>
      </c>
      <c r="CK26" s="631">
        <f t="shared" si="5"/>
        <v>1</v>
      </c>
      <c r="CL26" s="1262">
        <f t="shared" si="29"/>
        <v>0.47012106713145468</v>
      </c>
      <c r="CM26" s="127">
        <f t="shared" si="6"/>
        <v>0</v>
      </c>
      <c r="CW26" s="121">
        <v>6</v>
      </c>
    </row>
    <row r="27" spans="1:101" s="69" customFormat="1" ht="267.75" x14ac:dyDescent="0.2">
      <c r="A27" s="813">
        <v>11900</v>
      </c>
      <c r="B27" s="806" t="s">
        <v>125</v>
      </c>
      <c r="C27" s="806" t="s">
        <v>330</v>
      </c>
      <c r="D27" s="806"/>
      <c r="E27" s="806" t="s">
        <v>1017</v>
      </c>
      <c r="F27" s="806" t="s">
        <v>1017</v>
      </c>
      <c r="G27" s="806"/>
      <c r="H27" s="806"/>
      <c r="I27" s="806"/>
      <c r="J27" s="806"/>
      <c r="K27" s="806"/>
      <c r="L27" s="806"/>
      <c r="M27" s="806"/>
      <c r="N27" s="806"/>
      <c r="O27" s="806"/>
      <c r="P27" s="806"/>
      <c r="Q27" s="806" t="s">
        <v>204</v>
      </c>
      <c r="R27" s="806" t="s">
        <v>204</v>
      </c>
      <c r="S27" s="814" t="s">
        <v>126</v>
      </c>
      <c r="T27" s="806" t="s">
        <v>60</v>
      </c>
      <c r="U27" s="806" t="s">
        <v>204</v>
      </c>
      <c r="V27" s="806" t="s">
        <v>204</v>
      </c>
      <c r="W27" s="814" t="s">
        <v>616</v>
      </c>
      <c r="X27" s="806" t="s">
        <v>441</v>
      </c>
      <c r="Y27" s="836" t="s">
        <v>51</v>
      </c>
      <c r="Z27" s="805">
        <v>1</v>
      </c>
      <c r="AA27" s="1210"/>
      <c r="AB27" s="1351"/>
      <c r="AC27" s="1310"/>
      <c r="AD27" s="811">
        <v>1</v>
      </c>
      <c r="AE27" s="806" t="s">
        <v>17</v>
      </c>
      <c r="AF27" s="806" t="s">
        <v>28</v>
      </c>
      <c r="AG27" s="806" t="s">
        <v>204</v>
      </c>
      <c r="AH27" s="806" t="s">
        <v>633</v>
      </c>
      <c r="AI27" s="806" t="s">
        <v>1033</v>
      </c>
      <c r="AJ27" s="1201"/>
      <c r="AK27" s="806" t="s">
        <v>1531</v>
      </c>
      <c r="AL27" s="806" t="s">
        <v>204</v>
      </c>
      <c r="AM27" s="805">
        <v>1</v>
      </c>
      <c r="AN27" s="1201"/>
      <c r="AO27" s="1207"/>
      <c r="AP27" s="836" t="s">
        <v>46</v>
      </c>
      <c r="AQ27" s="805">
        <v>0.25</v>
      </c>
      <c r="AR27" s="1201"/>
      <c r="AS27" s="1205"/>
      <c r="AT27" s="811">
        <f>(1460/1542)*25%</f>
        <v>0.23670557717250323</v>
      </c>
      <c r="AU27" s="1210"/>
      <c r="AV27" s="807">
        <f t="shared" si="0"/>
        <v>0.94682230869001294</v>
      </c>
      <c r="AW27" s="1202"/>
      <c r="AX27" s="807">
        <f t="shared" si="1"/>
        <v>0.23670557717250323</v>
      </c>
      <c r="AY27" s="1202"/>
      <c r="AZ27" s="527" t="s">
        <v>1389</v>
      </c>
      <c r="BA27" s="805">
        <v>0.25</v>
      </c>
      <c r="BB27" s="1201"/>
      <c r="BC27" s="1205"/>
      <c r="BD27" s="824">
        <f>(350/373)*25%</f>
        <v>0.23458445040214476</v>
      </c>
      <c r="BE27" s="1205"/>
      <c r="BF27" s="807">
        <f t="shared" si="13"/>
        <v>0.93833780160857905</v>
      </c>
      <c r="BG27" s="1202"/>
      <c r="BH27" s="807">
        <f t="shared" si="15"/>
        <v>0.471290027574648</v>
      </c>
      <c r="BI27" s="1202"/>
      <c r="BJ27" s="808" t="s">
        <v>1706</v>
      </c>
      <c r="BK27" s="805">
        <v>0.25</v>
      </c>
      <c r="BL27" s="1201"/>
      <c r="BM27" s="1205"/>
      <c r="BN27" s="954">
        <f>159/245*25%</f>
        <v>0.16224489795918368</v>
      </c>
      <c r="BO27" s="1205"/>
      <c r="BP27" s="807">
        <f t="shared" si="17"/>
        <v>0.6489795918367347</v>
      </c>
      <c r="BQ27" s="1202"/>
      <c r="BR27" s="807">
        <f t="shared" si="19"/>
        <v>0.63353492553383162</v>
      </c>
      <c r="BS27" s="1202"/>
      <c r="BT27" s="952" t="s">
        <v>1930</v>
      </c>
      <c r="BU27" s="805">
        <v>0.25</v>
      </c>
      <c r="BV27" s="1201"/>
      <c r="BW27" s="1205"/>
      <c r="BX27" s="1070">
        <f>(128/128*25%)</f>
        <v>0.25</v>
      </c>
      <c r="BY27" s="1205"/>
      <c r="BZ27" s="805">
        <f t="shared" si="22"/>
        <v>1</v>
      </c>
      <c r="CA27" s="1199"/>
      <c r="CB27" s="805">
        <f t="shared" si="24"/>
        <v>0.88353492553383162</v>
      </c>
      <c r="CC27" s="1199"/>
      <c r="CD27" s="682" t="s">
        <v>2033</v>
      </c>
      <c r="CE27" s="631">
        <f t="shared" si="2"/>
        <v>0.94682230869001294</v>
      </c>
      <c r="CF27" s="1263"/>
      <c r="CG27" s="631">
        <f t="shared" si="3"/>
        <v>0.93833780160857905</v>
      </c>
      <c r="CH27" s="1263"/>
      <c r="CI27" s="631">
        <f t="shared" si="4"/>
        <v>0.6489795918367347</v>
      </c>
      <c r="CJ27" s="1263"/>
      <c r="CK27" s="631">
        <f t="shared" si="5"/>
        <v>1</v>
      </c>
      <c r="CL27" s="1262"/>
      <c r="CM27" s="127">
        <f t="shared" si="6"/>
        <v>0</v>
      </c>
      <c r="CW27" s="121">
        <v>6</v>
      </c>
    </row>
    <row r="28" spans="1:101" s="69" customFormat="1" ht="89.25" x14ac:dyDescent="0.2">
      <c r="A28" s="813">
        <v>11900</v>
      </c>
      <c r="B28" s="806" t="s">
        <v>125</v>
      </c>
      <c r="C28" s="806" t="s">
        <v>330</v>
      </c>
      <c r="D28" s="806"/>
      <c r="E28" s="806" t="s">
        <v>1017</v>
      </c>
      <c r="F28" s="806" t="s">
        <v>1017</v>
      </c>
      <c r="G28" s="806"/>
      <c r="H28" s="806"/>
      <c r="I28" s="806"/>
      <c r="J28" s="806"/>
      <c r="K28" s="806"/>
      <c r="L28" s="806"/>
      <c r="M28" s="806"/>
      <c r="N28" s="806"/>
      <c r="O28" s="806"/>
      <c r="P28" s="806"/>
      <c r="Q28" s="806" t="s">
        <v>204</v>
      </c>
      <c r="R28" s="806" t="s">
        <v>204</v>
      </c>
      <c r="S28" s="814" t="s">
        <v>126</v>
      </c>
      <c r="T28" s="806" t="s">
        <v>60</v>
      </c>
      <c r="U28" s="806" t="s">
        <v>204</v>
      </c>
      <c r="V28" s="806" t="s">
        <v>204</v>
      </c>
      <c r="W28" s="814" t="s">
        <v>617</v>
      </c>
      <c r="X28" s="806" t="s">
        <v>439</v>
      </c>
      <c r="Y28" s="836" t="s">
        <v>440</v>
      </c>
      <c r="Z28" s="66">
        <v>4</v>
      </c>
      <c r="AA28" s="1210"/>
      <c r="AB28" s="1351"/>
      <c r="AC28" s="1310"/>
      <c r="AD28" s="811">
        <v>1</v>
      </c>
      <c r="AE28" s="806" t="s">
        <v>17</v>
      </c>
      <c r="AF28" s="806" t="s">
        <v>28</v>
      </c>
      <c r="AG28" s="806" t="s">
        <v>204</v>
      </c>
      <c r="AH28" s="806" t="s">
        <v>633</v>
      </c>
      <c r="AI28" s="806" t="s">
        <v>1033</v>
      </c>
      <c r="AJ28" s="1201"/>
      <c r="AK28" s="806" t="s">
        <v>1532</v>
      </c>
      <c r="AL28" s="806" t="s">
        <v>204</v>
      </c>
      <c r="AM28" s="66">
        <v>4</v>
      </c>
      <c r="AN28" s="1201"/>
      <c r="AO28" s="1207"/>
      <c r="AP28" s="836" t="s">
        <v>46</v>
      </c>
      <c r="AQ28" s="865">
        <v>1</v>
      </c>
      <c r="AR28" s="1201"/>
      <c r="AS28" s="1205"/>
      <c r="AT28" s="814">
        <v>1</v>
      </c>
      <c r="AU28" s="1210"/>
      <c r="AV28" s="807">
        <f t="shared" si="0"/>
        <v>1</v>
      </c>
      <c r="AW28" s="1202"/>
      <c r="AX28" s="807">
        <f t="shared" si="1"/>
        <v>0.25</v>
      </c>
      <c r="AY28" s="1202"/>
      <c r="AZ28" s="527" t="s">
        <v>1390</v>
      </c>
      <c r="BA28" s="865">
        <v>1</v>
      </c>
      <c r="BB28" s="1201"/>
      <c r="BC28" s="1205"/>
      <c r="BD28" s="817">
        <v>1</v>
      </c>
      <c r="BE28" s="1205"/>
      <c r="BF28" s="807">
        <f t="shared" si="13"/>
        <v>1</v>
      </c>
      <c r="BG28" s="1202"/>
      <c r="BH28" s="807">
        <f t="shared" si="15"/>
        <v>0.5</v>
      </c>
      <c r="BI28" s="1202"/>
      <c r="BJ28" s="809" t="s">
        <v>1707</v>
      </c>
      <c r="BK28" s="865">
        <v>1</v>
      </c>
      <c r="BL28" s="1201"/>
      <c r="BM28" s="1205"/>
      <c r="BN28" s="949">
        <v>1</v>
      </c>
      <c r="BO28" s="1205"/>
      <c r="BP28" s="807">
        <f t="shared" si="17"/>
        <v>1</v>
      </c>
      <c r="BQ28" s="1202"/>
      <c r="BR28" s="807">
        <f t="shared" si="19"/>
        <v>0.75</v>
      </c>
      <c r="BS28" s="1202"/>
      <c r="BT28" s="945" t="s">
        <v>1931</v>
      </c>
      <c r="BU28" s="865">
        <v>1</v>
      </c>
      <c r="BV28" s="1201"/>
      <c r="BW28" s="1205"/>
      <c r="BX28" s="1172">
        <v>1</v>
      </c>
      <c r="BY28" s="1205"/>
      <c r="BZ28" s="805">
        <f t="shared" si="22"/>
        <v>1</v>
      </c>
      <c r="CA28" s="1199"/>
      <c r="CB28" s="805">
        <f t="shared" si="24"/>
        <v>1</v>
      </c>
      <c r="CC28" s="1199"/>
      <c r="CD28" s="70" t="s">
        <v>2095</v>
      </c>
      <c r="CE28" s="631">
        <f t="shared" si="2"/>
        <v>1</v>
      </c>
      <c r="CF28" s="1263"/>
      <c r="CG28" s="631">
        <f t="shared" si="3"/>
        <v>1</v>
      </c>
      <c r="CH28" s="1263"/>
      <c r="CI28" s="631">
        <f t="shared" si="4"/>
        <v>1</v>
      </c>
      <c r="CJ28" s="1263"/>
      <c r="CK28" s="631">
        <f t="shared" si="5"/>
        <v>1</v>
      </c>
      <c r="CL28" s="1262"/>
      <c r="CM28" s="127">
        <f t="shared" si="6"/>
        <v>0</v>
      </c>
      <c r="CW28" s="121">
        <v>6</v>
      </c>
    </row>
    <row r="29" spans="1:101" s="69" customFormat="1" ht="127.5" customHeight="1" x14ac:dyDescent="0.2">
      <c r="A29" s="813">
        <v>11900</v>
      </c>
      <c r="B29" s="806" t="s">
        <v>125</v>
      </c>
      <c r="C29" s="806" t="s">
        <v>330</v>
      </c>
      <c r="D29" s="806"/>
      <c r="E29" s="806" t="s">
        <v>1017</v>
      </c>
      <c r="F29" s="806" t="s">
        <v>1017</v>
      </c>
      <c r="G29" s="806"/>
      <c r="H29" s="806"/>
      <c r="I29" s="806"/>
      <c r="J29" s="806"/>
      <c r="K29" s="806"/>
      <c r="L29" s="806"/>
      <c r="M29" s="806"/>
      <c r="N29" s="806"/>
      <c r="O29" s="806"/>
      <c r="P29" s="806"/>
      <c r="Q29" s="806" t="s">
        <v>204</v>
      </c>
      <c r="R29" s="806" t="s">
        <v>204</v>
      </c>
      <c r="S29" s="814" t="s">
        <v>126</v>
      </c>
      <c r="T29" s="806" t="s">
        <v>60</v>
      </c>
      <c r="U29" s="806" t="s">
        <v>204</v>
      </c>
      <c r="V29" s="806" t="s">
        <v>204</v>
      </c>
      <c r="W29" s="1210" t="s">
        <v>620</v>
      </c>
      <c r="X29" s="1201" t="s">
        <v>442</v>
      </c>
      <c r="Y29" s="1214" t="s">
        <v>51</v>
      </c>
      <c r="Z29" s="1199">
        <v>1</v>
      </c>
      <c r="AA29" s="1210" t="s">
        <v>619</v>
      </c>
      <c r="AB29" s="1351" t="s">
        <v>889</v>
      </c>
      <c r="AC29" s="1310">
        <v>163716864</v>
      </c>
      <c r="AD29" s="1206">
        <v>1</v>
      </c>
      <c r="AE29" s="1201" t="s">
        <v>17</v>
      </c>
      <c r="AF29" s="1201" t="s">
        <v>28</v>
      </c>
      <c r="AG29" s="1201" t="s">
        <v>204</v>
      </c>
      <c r="AH29" s="1201" t="s">
        <v>633</v>
      </c>
      <c r="AI29" s="1201" t="s">
        <v>1033</v>
      </c>
      <c r="AJ29" s="1201" t="s">
        <v>1281</v>
      </c>
      <c r="AK29" s="806" t="s">
        <v>1534</v>
      </c>
      <c r="AL29" s="1201" t="s">
        <v>204</v>
      </c>
      <c r="AM29" s="811">
        <v>1</v>
      </c>
      <c r="AN29" s="1201" t="str">
        <f>+AB29</f>
        <v>Ejercer la representación judicial en los procesos penales y denuncias en que sea parte la ADRES.</v>
      </c>
      <c r="AO29" s="1207">
        <f>+AC29</f>
        <v>163716864</v>
      </c>
      <c r="AP29" s="836" t="s">
        <v>46</v>
      </c>
      <c r="AQ29" s="805">
        <v>0.25</v>
      </c>
      <c r="AR29" s="1201" t="str">
        <f>+AN29</f>
        <v>Ejercer la representación judicial en los procesos penales y denuncias en que sea parte la ADRES.</v>
      </c>
      <c r="AS29" s="1205">
        <f>+AO29/4</f>
        <v>40929216</v>
      </c>
      <c r="AT29" s="811">
        <f>16/56*25%</f>
        <v>7.1428571428571425E-2</v>
      </c>
      <c r="AU29" s="1210" t="s">
        <v>1382</v>
      </c>
      <c r="AV29" s="807">
        <f t="shared" si="0"/>
        <v>0.2857142857142857</v>
      </c>
      <c r="AW29" s="1202">
        <f>+(AU29/AS29)</f>
        <v>0.58888887585826222</v>
      </c>
      <c r="AX29" s="807">
        <f t="shared" si="1"/>
        <v>7.1428571428571425E-2</v>
      </c>
      <c r="AY29" s="1202">
        <f>+(AU29/AO29)</f>
        <v>0.14722221896456555</v>
      </c>
      <c r="AZ29" s="461" t="s">
        <v>1391</v>
      </c>
      <c r="BA29" s="805">
        <v>0.25</v>
      </c>
      <c r="BB29" s="1201" t="str">
        <f>+AN29</f>
        <v>Ejercer la representación judicial en los procesos penales y denuncias en que sea parte la ADRES.</v>
      </c>
      <c r="BC29" s="1205">
        <f>+AO29/4</f>
        <v>40929216</v>
      </c>
      <c r="BD29" s="824">
        <f>(15/16*25%)</f>
        <v>0.234375</v>
      </c>
      <c r="BE29" s="1205">
        <v>40929216</v>
      </c>
      <c r="BF29" s="807">
        <f>+(BD29/BA29)</f>
        <v>0.9375</v>
      </c>
      <c r="BG29" s="1202">
        <f>+(BE29/BC29)</f>
        <v>1</v>
      </c>
      <c r="BH29" s="807">
        <f>+(BD29+AT29)/AM29</f>
        <v>0.3058035714285714</v>
      </c>
      <c r="BI29" s="1202">
        <f>+(BE29+AU29)/AO29</f>
        <v>0.39722221896456555</v>
      </c>
      <c r="BJ29" s="808" t="s">
        <v>1708</v>
      </c>
      <c r="BK29" s="805">
        <v>0.25</v>
      </c>
      <c r="BL29" s="1201" t="str">
        <f>+AN29</f>
        <v>Ejercer la representación judicial en los procesos penales y denuncias en que sea parte la ADRES.</v>
      </c>
      <c r="BM29" s="1205">
        <f>+AO29/4</f>
        <v>40929216</v>
      </c>
      <c r="BN29" s="944">
        <f>(77/77*25%)</f>
        <v>0.25</v>
      </c>
      <c r="BO29" s="1205">
        <v>40929216</v>
      </c>
      <c r="BP29" s="807">
        <f t="shared" si="17"/>
        <v>1</v>
      </c>
      <c r="BQ29" s="1202">
        <f>+(BO29/BM29)</f>
        <v>1</v>
      </c>
      <c r="BR29" s="807">
        <f t="shared" si="19"/>
        <v>0.5558035714285714</v>
      </c>
      <c r="BS29" s="1202">
        <f>+(BE29+AU29+BO29)/AO29</f>
        <v>0.64722221896456555</v>
      </c>
      <c r="BT29" s="952" t="s">
        <v>1932</v>
      </c>
      <c r="BU29" s="805">
        <v>0.25</v>
      </c>
      <c r="BV29" s="1201" t="str">
        <f>+AN29</f>
        <v>Ejercer la representación judicial en los procesos penales y denuncias en que sea parte la ADRES.</v>
      </c>
      <c r="BW29" s="1205">
        <f>+AO29/4</f>
        <v>40929216</v>
      </c>
      <c r="BX29" s="1070">
        <f>(194/194*25%)</f>
        <v>0.25</v>
      </c>
      <c r="BY29" s="1369">
        <v>40929216</v>
      </c>
      <c r="BZ29" s="805">
        <f t="shared" si="22"/>
        <v>1</v>
      </c>
      <c r="CA29" s="1199">
        <f>+(BY29/BW29)</f>
        <v>1</v>
      </c>
      <c r="CB29" s="805">
        <f t="shared" si="24"/>
        <v>0.8058035714285714</v>
      </c>
      <c r="CC29" s="1199">
        <f>+(BE29+AU29+BO29+BY29)/AO29</f>
        <v>0.89722221896456555</v>
      </c>
      <c r="CD29" s="465" t="s">
        <v>2034</v>
      </c>
      <c r="CE29" s="631">
        <f t="shared" si="2"/>
        <v>0.2857142857142857</v>
      </c>
      <c r="CF29" s="1263">
        <f>IF(AND(AS29=0,AU29=0),"No Prog ni Ejec",IF(AS29=0,CONCATENATE("No Prog, Ejec=  ",AU29),AU29/AS29))</f>
        <v>0.58888887585826222</v>
      </c>
      <c r="CG29" s="631">
        <f t="shared" si="3"/>
        <v>0.9375</v>
      </c>
      <c r="CH29" s="1263">
        <f>IF(AND(BC29=0,BE29=0),"No Prog ni Ejec",IF(BC29=0,CONCATENATE("No Prog, Ejec=  ",BE29),BE29/BC29))</f>
        <v>1</v>
      </c>
      <c r="CI29" s="631">
        <f t="shared" si="4"/>
        <v>1</v>
      </c>
      <c r="CJ29" s="1263">
        <f>IF(AND(BM29=0,BO29=0),"No Prog ni Ejec",IF(BM29=0,CONCATENATE("No Prog, Ejec=  ",BO29),BO29/BM29))</f>
        <v>1</v>
      </c>
      <c r="CK29" s="631">
        <f t="shared" si="5"/>
        <v>1</v>
      </c>
      <c r="CL29" s="1262">
        <f>IF(AND(BW29=0,BY29=0),"No Prog ni Ejec",IF(BW29=0,CONCATENATE("No Prog, Ejec=  ",BY29),BY29/BW29))</f>
        <v>1</v>
      </c>
      <c r="CM29" s="127">
        <f t="shared" si="6"/>
        <v>0</v>
      </c>
      <c r="CW29" s="121">
        <v>6</v>
      </c>
    </row>
    <row r="30" spans="1:101" s="69" customFormat="1" ht="51" x14ac:dyDescent="0.2">
      <c r="A30" s="813">
        <v>11900</v>
      </c>
      <c r="B30" s="806" t="s">
        <v>125</v>
      </c>
      <c r="C30" s="806" t="s">
        <v>330</v>
      </c>
      <c r="D30" s="806"/>
      <c r="E30" s="806" t="s">
        <v>1017</v>
      </c>
      <c r="F30" s="806" t="s">
        <v>1017</v>
      </c>
      <c r="G30" s="806"/>
      <c r="H30" s="806"/>
      <c r="I30" s="806"/>
      <c r="J30" s="806"/>
      <c r="K30" s="806"/>
      <c r="L30" s="806"/>
      <c r="M30" s="806"/>
      <c r="N30" s="806"/>
      <c r="O30" s="806"/>
      <c r="P30" s="806"/>
      <c r="Q30" s="806" t="s">
        <v>204</v>
      </c>
      <c r="R30" s="806" t="s">
        <v>204</v>
      </c>
      <c r="S30" s="814" t="s">
        <v>126</v>
      </c>
      <c r="T30" s="806" t="s">
        <v>60</v>
      </c>
      <c r="U30" s="806" t="s">
        <v>204</v>
      </c>
      <c r="V30" s="806" t="s">
        <v>204</v>
      </c>
      <c r="W30" s="1210"/>
      <c r="X30" s="1201"/>
      <c r="Y30" s="1214"/>
      <c r="Z30" s="1199"/>
      <c r="AA30" s="1210"/>
      <c r="AB30" s="1351"/>
      <c r="AC30" s="1310"/>
      <c r="AD30" s="1206"/>
      <c r="AE30" s="1201"/>
      <c r="AF30" s="1201"/>
      <c r="AG30" s="1201"/>
      <c r="AH30" s="1201"/>
      <c r="AI30" s="1201"/>
      <c r="AJ30" s="1201"/>
      <c r="AK30" s="806" t="s">
        <v>1535</v>
      </c>
      <c r="AL30" s="1201"/>
      <c r="AM30" s="811">
        <v>1</v>
      </c>
      <c r="AN30" s="1201"/>
      <c r="AO30" s="1207"/>
      <c r="AP30" s="836" t="s">
        <v>46</v>
      </c>
      <c r="AQ30" s="805">
        <v>0.25</v>
      </c>
      <c r="AR30" s="1201"/>
      <c r="AS30" s="1205"/>
      <c r="AT30" s="814">
        <f>0/333*25%</f>
        <v>0</v>
      </c>
      <c r="AU30" s="1210"/>
      <c r="AV30" s="807">
        <f t="shared" si="0"/>
        <v>0</v>
      </c>
      <c r="AW30" s="1202"/>
      <c r="AX30" s="807">
        <f t="shared" si="1"/>
        <v>0</v>
      </c>
      <c r="AY30" s="1202"/>
      <c r="AZ30" s="461" t="s">
        <v>1392</v>
      </c>
      <c r="BA30" s="805">
        <v>0.25</v>
      </c>
      <c r="BB30" s="1201"/>
      <c r="BC30" s="1205"/>
      <c r="BD30" s="824">
        <f>(2/2*25%)</f>
        <v>0.25</v>
      </c>
      <c r="BE30" s="1205"/>
      <c r="BF30" s="807">
        <f>+(BD30/BA30)</f>
        <v>1</v>
      </c>
      <c r="BG30" s="1202"/>
      <c r="BH30" s="807">
        <f>+(BD30+AT30)/AM30</f>
        <v>0.25</v>
      </c>
      <c r="BI30" s="1202"/>
      <c r="BJ30" s="809" t="s">
        <v>1709</v>
      </c>
      <c r="BK30" s="805">
        <v>0.25</v>
      </c>
      <c r="BL30" s="1201"/>
      <c r="BM30" s="1205"/>
      <c r="BN30" s="944">
        <f>(3/3*25%)</f>
        <v>0.25</v>
      </c>
      <c r="BO30" s="1205"/>
      <c r="BP30" s="945">
        <f>+(BN30/BK30)</f>
        <v>1</v>
      </c>
      <c r="BQ30" s="1202"/>
      <c r="BR30" s="945">
        <f>+(BD30+AT30+BN30)/AM30</f>
        <v>0.5</v>
      </c>
      <c r="BS30" s="1202"/>
      <c r="BT30" s="952" t="s">
        <v>1933</v>
      </c>
      <c r="BU30" s="805">
        <v>0.25</v>
      </c>
      <c r="BV30" s="1201"/>
      <c r="BW30" s="1205"/>
      <c r="BX30" s="1070">
        <f>(3/3*25%)</f>
        <v>0.25</v>
      </c>
      <c r="BY30" s="1369"/>
      <c r="BZ30" s="1173">
        <f t="shared" si="22"/>
        <v>1</v>
      </c>
      <c r="CA30" s="1199"/>
      <c r="CB30" s="1173">
        <f t="shared" si="24"/>
        <v>0.75</v>
      </c>
      <c r="CC30" s="1199"/>
      <c r="CD30" s="465" t="s">
        <v>2035</v>
      </c>
      <c r="CE30" s="631">
        <f t="shared" si="2"/>
        <v>0</v>
      </c>
      <c r="CF30" s="1263"/>
      <c r="CG30" s="631">
        <f t="shared" si="3"/>
        <v>1</v>
      </c>
      <c r="CH30" s="1263"/>
      <c r="CI30" s="631">
        <f t="shared" si="4"/>
        <v>1</v>
      </c>
      <c r="CJ30" s="1263"/>
      <c r="CK30" s="631">
        <f t="shared" si="5"/>
        <v>1</v>
      </c>
      <c r="CL30" s="1262"/>
      <c r="CM30" s="127">
        <f t="shared" si="6"/>
        <v>0</v>
      </c>
    </row>
    <row r="31" spans="1:101" s="69" customFormat="1" ht="51" customHeight="1" x14ac:dyDescent="0.2">
      <c r="A31" s="813">
        <v>11900</v>
      </c>
      <c r="B31" s="806" t="s">
        <v>125</v>
      </c>
      <c r="C31" s="806" t="s">
        <v>330</v>
      </c>
      <c r="D31" s="806"/>
      <c r="E31" s="806" t="s">
        <v>1017</v>
      </c>
      <c r="F31" s="806" t="s">
        <v>1017</v>
      </c>
      <c r="G31" s="806"/>
      <c r="H31" s="806"/>
      <c r="I31" s="806"/>
      <c r="J31" s="806"/>
      <c r="K31" s="806"/>
      <c r="L31" s="806"/>
      <c r="M31" s="806"/>
      <c r="N31" s="806"/>
      <c r="O31" s="806"/>
      <c r="P31" s="806"/>
      <c r="Q31" s="806" t="s">
        <v>204</v>
      </c>
      <c r="R31" s="806" t="s">
        <v>204</v>
      </c>
      <c r="S31" s="814" t="s">
        <v>126</v>
      </c>
      <c r="T31" s="806" t="s">
        <v>60</v>
      </c>
      <c r="U31" s="806" t="s">
        <v>204</v>
      </c>
      <c r="V31" s="806" t="s">
        <v>204</v>
      </c>
      <c r="W31" s="814" t="s">
        <v>884</v>
      </c>
      <c r="X31" s="806" t="s">
        <v>890</v>
      </c>
      <c r="Y31" s="817" t="s">
        <v>51</v>
      </c>
      <c r="Z31" s="805">
        <v>1</v>
      </c>
      <c r="AA31" s="1210" t="s">
        <v>621</v>
      </c>
      <c r="AB31" s="1201" t="s">
        <v>443</v>
      </c>
      <c r="AC31" s="1205">
        <f>1033837738-220976134</f>
        <v>812861604</v>
      </c>
      <c r="AD31" s="811">
        <v>1</v>
      </c>
      <c r="AE31" s="806" t="s">
        <v>17</v>
      </c>
      <c r="AF31" s="806" t="s">
        <v>28</v>
      </c>
      <c r="AG31" s="806" t="s">
        <v>204</v>
      </c>
      <c r="AH31" s="806" t="s">
        <v>633</v>
      </c>
      <c r="AI31" s="806" t="s">
        <v>1033</v>
      </c>
      <c r="AJ31" s="1201" t="s">
        <v>1281</v>
      </c>
      <c r="AK31" s="806" t="s">
        <v>891</v>
      </c>
      <c r="AL31" s="806" t="s">
        <v>204</v>
      </c>
      <c r="AM31" s="811">
        <v>1</v>
      </c>
      <c r="AN31" s="1201" t="str">
        <f>+AB31</f>
        <v xml:space="preserve">Ejercer la representación prejudicial y  judicial en los procesos en que sea parte la  – ADRES </v>
      </c>
      <c r="AO31" s="1207">
        <f>+AC31</f>
        <v>812861604</v>
      </c>
      <c r="AP31" s="836" t="s">
        <v>46</v>
      </c>
      <c r="AQ31" s="805">
        <v>0.25</v>
      </c>
      <c r="AR31" s="1201" t="str">
        <f>+AN31</f>
        <v xml:space="preserve">Ejercer la representación prejudicial y  judicial en los procesos en que sea parte la  – ADRES </v>
      </c>
      <c r="AS31" s="1205">
        <f>+AO31/4</f>
        <v>203215401</v>
      </c>
      <c r="AT31" s="811">
        <f>(52/52)*25%</f>
        <v>0.25</v>
      </c>
      <c r="AU31" s="1355">
        <v>97596330.010000005</v>
      </c>
      <c r="AV31" s="807">
        <f t="shared" si="0"/>
        <v>1</v>
      </c>
      <c r="AW31" s="1202">
        <f>+(AU31/AS31)</f>
        <v>0.48026049959668166</v>
      </c>
      <c r="AX31" s="807">
        <f t="shared" si="1"/>
        <v>0.25</v>
      </c>
      <c r="AY31" s="1202">
        <f>+(AU31/AO31)</f>
        <v>0.12006512489917041</v>
      </c>
      <c r="AZ31" s="527" t="s">
        <v>1393</v>
      </c>
      <c r="BA31" s="805">
        <v>0.25</v>
      </c>
      <c r="BB31" s="1201" t="str">
        <f>+AN31</f>
        <v xml:space="preserve">Ejercer la representación prejudicial y  judicial en los procesos en que sea parte la  – ADRES </v>
      </c>
      <c r="BC31" s="1205">
        <f>+AO31/4</f>
        <v>203215401</v>
      </c>
      <c r="BD31" s="488">
        <f>(136/151*25%)</f>
        <v>0.2251655629139073</v>
      </c>
      <c r="BE31" s="1205">
        <v>136198593</v>
      </c>
      <c r="BF31" s="807">
        <f t="shared" ref="BF31:BF42" si="36">+(BD31/BA31)</f>
        <v>0.90066225165562919</v>
      </c>
      <c r="BG31" s="1202">
        <f>+(BE31/BC31)</f>
        <v>0.67021786896948821</v>
      </c>
      <c r="BH31" s="807">
        <f t="shared" ref="BH31:BH41" si="37">+(BD31+AT31)/AM31</f>
        <v>0.47516556291390732</v>
      </c>
      <c r="BI31" s="1202">
        <f>+(BE31+AU31)/AO31</f>
        <v>0.28761959214154242</v>
      </c>
      <c r="BJ31" s="808" t="s">
        <v>1710</v>
      </c>
      <c r="BK31" s="805">
        <v>0.25</v>
      </c>
      <c r="BL31" s="1201" t="str">
        <f>+AN31</f>
        <v xml:space="preserve">Ejercer la representación prejudicial y  judicial en los procesos en que sea parte la  – ADRES </v>
      </c>
      <c r="BM31" s="1205">
        <f>+AO31/4</f>
        <v>203215401</v>
      </c>
      <c r="BN31" s="954">
        <f>125/125*25%</f>
        <v>0.25</v>
      </c>
      <c r="BO31" s="1205">
        <v>137554921</v>
      </c>
      <c r="BP31" s="807">
        <f t="shared" ref="BP31:BP42" si="38">+(BN31/BK31)</f>
        <v>1</v>
      </c>
      <c r="BQ31" s="1202">
        <f>+(BO31/BM31)</f>
        <v>0.67689220562569463</v>
      </c>
      <c r="BR31" s="807">
        <f t="shared" ref="BR31:BR41" si="39">+(BD31+AT31+BN31)/AM31</f>
        <v>0.72516556291390732</v>
      </c>
      <c r="BS31" s="1202">
        <f>+(BE31+AU31+BO31)/AO31</f>
        <v>0.45684264354796611</v>
      </c>
      <c r="BT31" s="952" t="s">
        <v>1934</v>
      </c>
      <c r="BU31" s="805">
        <v>0.25</v>
      </c>
      <c r="BV31" s="1201" t="str">
        <f>+AN31</f>
        <v xml:space="preserve">Ejercer la representación prejudicial y  judicial en los procesos en que sea parte la  – ADRES </v>
      </c>
      <c r="BW31" s="1205">
        <f>+AO31/4</f>
        <v>203215401</v>
      </c>
      <c r="BX31" s="1070">
        <f>(200/200*25%)</f>
        <v>0.25</v>
      </c>
      <c r="BY31" s="1210">
        <v>230434063</v>
      </c>
      <c r="BZ31" s="805">
        <f t="shared" ref="BZ31:BZ42" si="40">+(BX31/BU31)</f>
        <v>1</v>
      </c>
      <c r="CA31" s="1199">
        <f>+(BY31/BW31)</f>
        <v>1.1339399566472819</v>
      </c>
      <c r="CB31" s="805">
        <f t="shared" ref="CB31:CB41" si="41">+(BD31+AT31+BN31+BX31)/AM31</f>
        <v>0.97516556291390732</v>
      </c>
      <c r="CC31" s="1199">
        <f>+(BE31+AU31+BO31+BY31)/AO31</f>
        <v>0.74032763270978663</v>
      </c>
      <c r="CD31" s="465" t="s">
        <v>1934</v>
      </c>
      <c r="CE31" s="631">
        <f t="shared" si="2"/>
        <v>1</v>
      </c>
      <c r="CF31" s="1263">
        <f>IF(AND(AS31=0,AU31=0),"No Prog ni Ejec",IF(AS31=0,CONCATENATE("No Prog, Ejec=  ",AU31),AU31/AS31))</f>
        <v>0.48026049959668166</v>
      </c>
      <c r="CG31" s="631">
        <f t="shared" si="3"/>
        <v>0.90066225165562919</v>
      </c>
      <c r="CH31" s="1263">
        <f>IF(AND(BC31=0,BE31=0),"No Prog ni Ejec",IF(BC31=0,CONCATENATE("No Prog, Ejec=  ",BE31),BE31/BC31))</f>
        <v>0.67021786896948821</v>
      </c>
      <c r="CI31" s="631">
        <f t="shared" si="4"/>
        <v>1</v>
      </c>
      <c r="CJ31" s="1263">
        <f>IF(AND(BM31=0,BO31=0),"No Prog ni Ejec",IF(BM31=0,CONCATENATE("No Prog, Ejec=  ",BO31),BO31/BM31))</f>
        <v>0.67689220562569463</v>
      </c>
      <c r="CK31" s="631">
        <f t="shared" si="5"/>
        <v>1</v>
      </c>
      <c r="CL31" s="1262">
        <f>IF(AND(BW31=0,BY31=0),"No Prog ni Ejec",IF(BW31=0,CONCATENATE("No Prog, Ejec=  ",BY31),BY31/BW31))</f>
        <v>1.1339399566472819</v>
      </c>
      <c r="CM31" s="127">
        <f t="shared" si="6"/>
        <v>0</v>
      </c>
      <c r="CW31" s="121">
        <v>6</v>
      </c>
    </row>
    <row r="32" spans="1:101" s="69" customFormat="1" ht="344.25" x14ac:dyDescent="0.2">
      <c r="A32" s="813">
        <v>11900</v>
      </c>
      <c r="B32" s="806" t="s">
        <v>125</v>
      </c>
      <c r="C32" s="806" t="s">
        <v>330</v>
      </c>
      <c r="D32" s="806"/>
      <c r="E32" s="806" t="s">
        <v>1017</v>
      </c>
      <c r="F32" s="806" t="s">
        <v>1017</v>
      </c>
      <c r="G32" s="806"/>
      <c r="H32" s="806"/>
      <c r="I32" s="806"/>
      <c r="J32" s="806"/>
      <c r="K32" s="806"/>
      <c r="L32" s="806"/>
      <c r="M32" s="806"/>
      <c r="N32" s="806"/>
      <c r="O32" s="806"/>
      <c r="P32" s="806"/>
      <c r="Q32" s="806" t="s">
        <v>204</v>
      </c>
      <c r="R32" s="806" t="s">
        <v>204</v>
      </c>
      <c r="S32" s="814" t="s">
        <v>126</v>
      </c>
      <c r="T32" s="806" t="s">
        <v>60</v>
      </c>
      <c r="U32" s="806" t="s">
        <v>204</v>
      </c>
      <c r="V32" s="806" t="s">
        <v>204</v>
      </c>
      <c r="W32" s="814" t="s">
        <v>928</v>
      </c>
      <c r="X32" s="806" t="s">
        <v>892</v>
      </c>
      <c r="Y32" s="817" t="s">
        <v>51</v>
      </c>
      <c r="Z32" s="805">
        <v>1</v>
      </c>
      <c r="AA32" s="1210"/>
      <c r="AB32" s="1201"/>
      <c r="AC32" s="1205"/>
      <c r="AD32" s="811">
        <v>1</v>
      </c>
      <c r="AE32" s="806" t="s">
        <v>17</v>
      </c>
      <c r="AF32" s="806" t="s">
        <v>28</v>
      </c>
      <c r="AG32" s="806" t="s">
        <v>204</v>
      </c>
      <c r="AH32" s="806" t="s">
        <v>633</v>
      </c>
      <c r="AI32" s="806" t="s">
        <v>1033</v>
      </c>
      <c r="AJ32" s="1201"/>
      <c r="AK32" s="806" t="s">
        <v>893</v>
      </c>
      <c r="AL32" s="806" t="s">
        <v>204</v>
      </c>
      <c r="AM32" s="811">
        <v>1</v>
      </c>
      <c r="AN32" s="1201"/>
      <c r="AO32" s="1207"/>
      <c r="AP32" s="836" t="s">
        <v>46</v>
      </c>
      <c r="AQ32" s="805">
        <v>0.25</v>
      </c>
      <c r="AR32" s="1201"/>
      <c r="AS32" s="1205"/>
      <c r="AT32" s="811">
        <f>34/34*25%</f>
        <v>0.25</v>
      </c>
      <c r="AU32" s="1210"/>
      <c r="AV32" s="807">
        <f t="shared" si="0"/>
        <v>1</v>
      </c>
      <c r="AW32" s="1202"/>
      <c r="AX32" s="807">
        <f t="shared" si="1"/>
        <v>0.25</v>
      </c>
      <c r="AY32" s="1202"/>
      <c r="AZ32" s="461" t="s">
        <v>1394</v>
      </c>
      <c r="BA32" s="805">
        <v>0.25</v>
      </c>
      <c r="BB32" s="1201"/>
      <c r="BC32" s="1205"/>
      <c r="BD32" s="824">
        <f>(48/54*25%)</f>
        <v>0.22222222222222221</v>
      </c>
      <c r="BE32" s="1205"/>
      <c r="BF32" s="807">
        <f t="shared" si="36"/>
        <v>0.88888888888888884</v>
      </c>
      <c r="BG32" s="1202"/>
      <c r="BH32" s="807">
        <f t="shared" si="37"/>
        <v>0.47222222222222221</v>
      </c>
      <c r="BI32" s="1202"/>
      <c r="BJ32" s="808" t="s">
        <v>1711</v>
      </c>
      <c r="BK32" s="805">
        <v>0.25</v>
      </c>
      <c r="BL32" s="1201"/>
      <c r="BM32" s="1205"/>
      <c r="BN32" s="954">
        <f>138/142*25%</f>
        <v>0.24295774647887325</v>
      </c>
      <c r="BO32" s="1205"/>
      <c r="BP32" s="807">
        <f t="shared" si="38"/>
        <v>0.971830985915493</v>
      </c>
      <c r="BQ32" s="1202"/>
      <c r="BR32" s="807">
        <f t="shared" si="39"/>
        <v>0.71517996870109546</v>
      </c>
      <c r="BS32" s="1202"/>
      <c r="BT32" s="948" t="s">
        <v>1935</v>
      </c>
      <c r="BU32" s="805">
        <v>0.25</v>
      </c>
      <c r="BV32" s="1201"/>
      <c r="BW32" s="1205"/>
      <c r="BX32" s="1070">
        <f>(460/460*25%)</f>
        <v>0.25</v>
      </c>
      <c r="BY32" s="1210"/>
      <c r="BZ32" s="805">
        <f t="shared" si="40"/>
        <v>1</v>
      </c>
      <c r="CA32" s="1199"/>
      <c r="CB32" s="805">
        <f t="shared" si="41"/>
        <v>0.96517996870109546</v>
      </c>
      <c r="CC32" s="1199"/>
      <c r="CD32" s="465" t="s">
        <v>2036</v>
      </c>
      <c r="CE32" s="631">
        <f t="shared" si="2"/>
        <v>1</v>
      </c>
      <c r="CF32" s="1263"/>
      <c r="CG32" s="631">
        <f t="shared" si="3"/>
        <v>0.88888888888888884</v>
      </c>
      <c r="CH32" s="1263"/>
      <c r="CI32" s="631">
        <f t="shared" si="4"/>
        <v>0.971830985915493</v>
      </c>
      <c r="CJ32" s="1263"/>
      <c r="CK32" s="631">
        <f t="shared" si="5"/>
        <v>1</v>
      </c>
      <c r="CL32" s="1262"/>
      <c r="CM32" s="127">
        <f t="shared" si="6"/>
        <v>0</v>
      </c>
      <c r="CW32" s="121">
        <v>6</v>
      </c>
    </row>
    <row r="33" spans="1:107" s="69" customFormat="1" ht="216.75" x14ac:dyDescent="0.2">
      <c r="A33" s="813">
        <v>11900</v>
      </c>
      <c r="B33" s="806" t="s">
        <v>125</v>
      </c>
      <c r="C33" s="806" t="s">
        <v>330</v>
      </c>
      <c r="D33" s="806"/>
      <c r="E33" s="806" t="s">
        <v>1017</v>
      </c>
      <c r="F33" s="806" t="s">
        <v>1017</v>
      </c>
      <c r="G33" s="806"/>
      <c r="H33" s="806"/>
      <c r="I33" s="806"/>
      <c r="J33" s="806"/>
      <c r="K33" s="806"/>
      <c r="L33" s="806"/>
      <c r="M33" s="806"/>
      <c r="N33" s="806"/>
      <c r="O33" s="806"/>
      <c r="P33" s="806"/>
      <c r="Q33" s="806" t="s">
        <v>204</v>
      </c>
      <c r="R33" s="806" t="s">
        <v>204</v>
      </c>
      <c r="S33" s="814" t="s">
        <v>126</v>
      </c>
      <c r="T33" s="806" t="s">
        <v>60</v>
      </c>
      <c r="U33" s="806" t="s">
        <v>204</v>
      </c>
      <c r="V33" s="806" t="s">
        <v>204</v>
      </c>
      <c r="W33" s="814" t="s">
        <v>929</v>
      </c>
      <c r="X33" s="806" t="s">
        <v>894</v>
      </c>
      <c r="Y33" s="817" t="s">
        <v>51</v>
      </c>
      <c r="Z33" s="805">
        <v>1</v>
      </c>
      <c r="AA33" s="1210"/>
      <c r="AB33" s="1201"/>
      <c r="AC33" s="1205"/>
      <c r="AD33" s="811">
        <v>1</v>
      </c>
      <c r="AE33" s="806" t="s">
        <v>17</v>
      </c>
      <c r="AF33" s="806" t="s">
        <v>28</v>
      </c>
      <c r="AG33" s="806" t="s">
        <v>204</v>
      </c>
      <c r="AH33" s="806" t="s">
        <v>633</v>
      </c>
      <c r="AI33" s="806" t="s">
        <v>1033</v>
      </c>
      <c r="AJ33" s="1201"/>
      <c r="AK33" s="806" t="s">
        <v>895</v>
      </c>
      <c r="AL33" s="806" t="s">
        <v>204</v>
      </c>
      <c r="AM33" s="811">
        <v>1</v>
      </c>
      <c r="AN33" s="1201"/>
      <c r="AO33" s="1207"/>
      <c r="AP33" s="836" t="s">
        <v>46</v>
      </c>
      <c r="AQ33" s="805">
        <v>0.25</v>
      </c>
      <c r="AR33" s="1201"/>
      <c r="AS33" s="1205"/>
      <c r="AT33" s="811">
        <f>(39/94)*25%</f>
        <v>0.10372340425531915</v>
      </c>
      <c r="AU33" s="1210"/>
      <c r="AV33" s="807">
        <f t="shared" si="0"/>
        <v>0.41489361702127658</v>
      </c>
      <c r="AW33" s="1202"/>
      <c r="AX33" s="807">
        <f t="shared" si="1"/>
        <v>0.10372340425531915</v>
      </c>
      <c r="AY33" s="1202"/>
      <c r="AZ33" s="527" t="s">
        <v>1395</v>
      </c>
      <c r="BA33" s="805">
        <v>0.25</v>
      </c>
      <c r="BB33" s="1201"/>
      <c r="BC33" s="1205"/>
      <c r="BD33" s="824">
        <f>(14/31*25%)</f>
        <v>0.11290322580645161</v>
      </c>
      <c r="BE33" s="1205"/>
      <c r="BF33" s="807">
        <f t="shared" si="36"/>
        <v>0.45161290322580644</v>
      </c>
      <c r="BG33" s="1202"/>
      <c r="BH33" s="807">
        <f t="shared" si="37"/>
        <v>0.21662663006177074</v>
      </c>
      <c r="BI33" s="1202"/>
      <c r="BJ33" s="809" t="s">
        <v>1712</v>
      </c>
      <c r="BK33" s="805">
        <v>0.25</v>
      </c>
      <c r="BL33" s="1201"/>
      <c r="BM33" s="1205"/>
      <c r="BN33" s="954">
        <f>28/28*25%</f>
        <v>0.25</v>
      </c>
      <c r="BO33" s="1205"/>
      <c r="BP33" s="807">
        <f t="shared" si="38"/>
        <v>1</v>
      </c>
      <c r="BQ33" s="1202"/>
      <c r="BR33" s="807">
        <f t="shared" si="39"/>
        <v>0.46662663006177074</v>
      </c>
      <c r="BS33" s="1202"/>
      <c r="BT33" s="948" t="s">
        <v>1936</v>
      </c>
      <c r="BU33" s="805">
        <v>0.25</v>
      </c>
      <c r="BV33" s="1201"/>
      <c r="BW33" s="1205"/>
      <c r="BX33" s="1065">
        <f>(6/6*25%)</f>
        <v>0.25</v>
      </c>
      <c r="BY33" s="1210"/>
      <c r="BZ33" s="805">
        <f t="shared" si="40"/>
        <v>1</v>
      </c>
      <c r="CA33" s="1199"/>
      <c r="CB33" s="805">
        <f t="shared" si="41"/>
        <v>0.71662663006177074</v>
      </c>
      <c r="CC33" s="1199"/>
      <c r="CD33" s="465" t="s">
        <v>2037</v>
      </c>
      <c r="CE33" s="631">
        <f t="shared" si="2"/>
        <v>0.41489361702127658</v>
      </c>
      <c r="CF33" s="1263"/>
      <c r="CG33" s="631">
        <f t="shared" si="3"/>
        <v>0.45161290322580644</v>
      </c>
      <c r="CH33" s="1263"/>
      <c r="CI33" s="631">
        <f t="shared" si="4"/>
        <v>1</v>
      </c>
      <c r="CJ33" s="1263"/>
      <c r="CK33" s="631">
        <f t="shared" si="5"/>
        <v>1</v>
      </c>
      <c r="CL33" s="1262"/>
      <c r="CM33" s="127">
        <f t="shared" si="6"/>
        <v>0</v>
      </c>
      <c r="CW33" s="121">
        <v>6</v>
      </c>
    </row>
    <row r="34" spans="1:107" s="69" customFormat="1" ht="216.75" x14ac:dyDescent="0.2">
      <c r="A34" s="813">
        <v>11900</v>
      </c>
      <c r="B34" s="806" t="s">
        <v>125</v>
      </c>
      <c r="C34" s="806" t="s">
        <v>330</v>
      </c>
      <c r="D34" s="806"/>
      <c r="E34" s="806" t="s">
        <v>1017</v>
      </c>
      <c r="F34" s="806" t="s">
        <v>1017</v>
      </c>
      <c r="G34" s="806"/>
      <c r="H34" s="806"/>
      <c r="I34" s="806"/>
      <c r="J34" s="806"/>
      <c r="K34" s="806"/>
      <c r="L34" s="806"/>
      <c r="M34" s="806"/>
      <c r="N34" s="806"/>
      <c r="O34" s="806"/>
      <c r="P34" s="806"/>
      <c r="Q34" s="806" t="s">
        <v>204</v>
      </c>
      <c r="R34" s="806" t="s">
        <v>204</v>
      </c>
      <c r="S34" s="814" t="s">
        <v>126</v>
      </c>
      <c r="T34" s="806" t="s">
        <v>60</v>
      </c>
      <c r="U34" s="806" t="s">
        <v>204</v>
      </c>
      <c r="V34" s="806" t="s">
        <v>204</v>
      </c>
      <c r="W34" s="814" t="s">
        <v>930</v>
      </c>
      <c r="X34" s="806" t="s">
        <v>896</v>
      </c>
      <c r="Y34" s="817" t="s">
        <v>51</v>
      </c>
      <c r="Z34" s="805">
        <v>1</v>
      </c>
      <c r="AA34" s="1210"/>
      <c r="AB34" s="1201"/>
      <c r="AC34" s="1205"/>
      <c r="AD34" s="811">
        <v>1</v>
      </c>
      <c r="AE34" s="806" t="s">
        <v>17</v>
      </c>
      <c r="AF34" s="806" t="s">
        <v>28</v>
      </c>
      <c r="AG34" s="806" t="s">
        <v>204</v>
      </c>
      <c r="AH34" s="806" t="s">
        <v>633</v>
      </c>
      <c r="AI34" s="806" t="s">
        <v>1033</v>
      </c>
      <c r="AJ34" s="1201"/>
      <c r="AK34" s="806" t="s">
        <v>444</v>
      </c>
      <c r="AL34" s="806" t="s">
        <v>204</v>
      </c>
      <c r="AM34" s="811">
        <v>1</v>
      </c>
      <c r="AN34" s="1201"/>
      <c r="AO34" s="1207"/>
      <c r="AP34" s="836" t="s">
        <v>46</v>
      </c>
      <c r="AQ34" s="805">
        <v>0.25</v>
      </c>
      <c r="AR34" s="1201"/>
      <c r="AS34" s="1205"/>
      <c r="AT34" s="811">
        <f>116/117*25%</f>
        <v>0.24786324786324787</v>
      </c>
      <c r="AU34" s="1210"/>
      <c r="AV34" s="807">
        <f t="shared" si="0"/>
        <v>0.99145299145299148</v>
      </c>
      <c r="AW34" s="1202"/>
      <c r="AX34" s="807">
        <f t="shared" si="1"/>
        <v>0.24786324786324787</v>
      </c>
      <c r="AY34" s="1202"/>
      <c r="AZ34" s="528" t="s">
        <v>1396</v>
      </c>
      <c r="BA34" s="805">
        <v>0.25</v>
      </c>
      <c r="BB34" s="1201"/>
      <c r="BC34" s="1205"/>
      <c r="BD34" s="824">
        <f>(36/36*25%)</f>
        <v>0.25</v>
      </c>
      <c r="BE34" s="1205"/>
      <c r="BF34" s="807">
        <f t="shared" si="36"/>
        <v>1</v>
      </c>
      <c r="BG34" s="1202"/>
      <c r="BH34" s="807">
        <f t="shared" si="37"/>
        <v>0.49786324786324787</v>
      </c>
      <c r="BI34" s="1202"/>
      <c r="BJ34" s="809" t="s">
        <v>1713</v>
      </c>
      <c r="BK34" s="805">
        <v>0.25</v>
      </c>
      <c r="BL34" s="1201"/>
      <c r="BM34" s="1205"/>
      <c r="BN34" s="954">
        <f>45/45*25%</f>
        <v>0.25</v>
      </c>
      <c r="BO34" s="1205"/>
      <c r="BP34" s="807">
        <f t="shared" si="38"/>
        <v>1</v>
      </c>
      <c r="BQ34" s="1202"/>
      <c r="BR34" s="807">
        <f t="shared" si="39"/>
        <v>0.74786324786324787</v>
      </c>
      <c r="BS34" s="1202"/>
      <c r="BT34" s="948" t="s">
        <v>1937</v>
      </c>
      <c r="BU34" s="805">
        <v>0.25</v>
      </c>
      <c r="BV34" s="1201"/>
      <c r="BW34" s="1205"/>
      <c r="BX34" s="1065">
        <f>(51/51*25%)</f>
        <v>0.25</v>
      </c>
      <c r="BY34" s="1210"/>
      <c r="BZ34" s="805">
        <f t="shared" si="40"/>
        <v>1</v>
      </c>
      <c r="CA34" s="1199"/>
      <c r="CB34" s="805">
        <f t="shared" si="41"/>
        <v>0.99786324786324787</v>
      </c>
      <c r="CC34" s="1199"/>
      <c r="CD34" s="682" t="s">
        <v>2038</v>
      </c>
      <c r="CE34" s="631">
        <f t="shared" si="2"/>
        <v>0.99145299145299148</v>
      </c>
      <c r="CF34" s="1263"/>
      <c r="CG34" s="631">
        <f t="shared" si="3"/>
        <v>1</v>
      </c>
      <c r="CH34" s="1263"/>
      <c r="CI34" s="631">
        <f t="shared" si="4"/>
        <v>1</v>
      </c>
      <c r="CJ34" s="1263"/>
      <c r="CK34" s="631">
        <f t="shared" si="5"/>
        <v>1</v>
      </c>
      <c r="CL34" s="1262"/>
      <c r="CM34" s="127">
        <f t="shared" si="6"/>
        <v>0</v>
      </c>
      <c r="CW34" s="121">
        <v>6</v>
      </c>
    </row>
    <row r="35" spans="1:107" s="570" customFormat="1" ht="127.5" hidden="1" customHeight="1" x14ac:dyDescent="0.2">
      <c r="A35" s="833">
        <v>11900</v>
      </c>
      <c r="B35" s="829" t="s">
        <v>125</v>
      </c>
      <c r="C35" s="829" t="s">
        <v>330</v>
      </c>
      <c r="D35" s="806"/>
      <c r="E35" s="806" t="s">
        <v>1017</v>
      </c>
      <c r="F35" s="806" t="s">
        <v>1017</v>
      </c>
      <c r="G35" s="806"/>
      <c r="H35" s="806"/>
      <c r="I35" s="806"/>
      <c r="J35" s="806"/>
      <c r="K35" s="806"/>
      <c r="L35" s="806"/>
      <c r="M35" s="806"/>
      <c r="N35" s="806"/>
      <c r="O35" s="806"/>
      <c r="P35" s="806"/>
      <c r="Q35" s="806" t="s">
        <v>204</v>
      </c>
      <c r="R35" s="806" t="s">
        <v>204</v>
      </c>
      <c r="S35" s="814" t="s">
        <v>126</v>
      </c>
      <c r="T35" s="806" t="s">
        <v>60</v>
      </c>
      <c r="U35" s="806" t="s">
        <v>204</v>
      </c>
      <c r="V35" s="806" t="s">
        <v>204</v>
      </c>
      <c r="W35" s="834" t="s">
        <v>623</v>
      </c>
      <c r="X35" s="829" t="s">
        <v>131</v>
      </c>
      <c r="Y35" s="564" t="s">
        <v>51</v>
      </c>
      <c r="Z35" s="839">
        <v>1</v>
      </c>
      <c r="AA35" s="1346" t="s">
        <v>622</v>
      </c>
      <c r="AB35" s="1381" t="s">
        <v>445</v>
      </c>
      <c r="AC35" s="1354">
        <v>45152000</v>
      </c>
      <c r="AD35" s="811">
        <v>1</v>
      </c>
      <c r="AE35" s="806" t="s">
        <v>17</v>
      </c>
      <c r="AF35" s="806" t="s">
        <v>28</v>
      </c>
      <c r="AG35" s="806" t="s">
        <v>204</v>
      </c>
      <c r="AH35" s="806" t="s">
        <v>633</v>
      </c>
      <c r="AI35" s="806" t="s">
        <v>1033</v>
      </c>
      <c r="AJ35" s="1201" t="s">
        <v>1281</v>
      </c>
      <c r="AK35" s="829" t="s">
        <v>176</v>
      </c>
      <c r="AL35" s="806" t="s">
        <v>204</v>
      </c>
      <c r="AM35" s="839">
        <v>1</v>
      </c>
      <c r="AN35" s="1337"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353">
        <f>+AC35</f>
        <v>45152000</v>
      </c>
      <c r="AP35" s="836" t="s">
        <v>46</v>
      </c>
      <c r="AQ35" s="571">
        <v>0.25</v>
      </c>
      <c r="AR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349">
        <f>+AO35/4</f>
        <v>11288000</v>
      </c>
      <c r="AT35" s="571">
        <f>(12/12)*25%</f>
        <v>0.25</v>
      </c>
      <c r="AU35" s="1382">
        <v>8296000</v>
      </c>
      <c r="AV35" s="832">
        <f t="shared" si="0"/>
        <v>1</v>
      </c>
      <c r="AW35" s="1343">
        <f>+(AU35/AS35)</f>
        <v>0.73493975903614461</v>
      </c>
      <c r="AX35" s="832">
        <f t="shared" si="1"/>
        <v>0.25</v>
      </c>
      <c r="AY35" s="1343">
        <f>+(AU35/AO35)</f>
        <v>0.18373493975903615</v>
      </c>
      <c r="AZ35" s="571" t="s">
        <v>1397</v>
      </c>
      <c r="BA35" s="571">
        <v>0.25</v>
      </c>
      <c r="BB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349">
        <f>+AO35/4</f>
        <v>11288000</v>
      </c>
      <c r="BD35" s="564"/>
      <c r="BE35" s="1349"/>
      <c r="BF35" s="832">
        <f t="shared" si="36"/>
        <v>0</v>
      </c>
      <c r="BG35" s="1343">
        <f>+(BE35/BC35)</f>
        <v>0</v>
      </c>
      <c r="BH35" s="832">
        <f t="shared" si="37"/>
        <v>0.25</v>
      </c>
      <c r="BI35" s="1343">
        <f>+(BE35+AU35)/AO35</f>
        <v>0.18373493975903615</v>
      </c>
      <c r="BJ35" s="675"/>
      <c r="BK35" s="571">
        <v>0.25</v>
      </c>
      <c r="BL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349">
        <f>+AO35/4</f>
        <v>11288000</v>
      </c>
      <c r="BN35" s="834"/>
      <c r="BO35" s="1349"/>
      <c r="BP35" s="832">
        <f t="shared" si="38"/>
        <v>0</v>
      </c>
      <c r="BQ35" s="1343">
        <f>+(BO35/BM35)</f>
        <v>0</v>
      </c>
      <c r="BR35" s="832">
        <f t="shared" si="39"/>
        <v>0.25</v>
      </c>
      <c r="BS35" s="1343">
        <f>+(BE35+AU35+BO35)/AO35</f>
        <v>0.18373493975903615</v>
      </c>
      <c r="BT35" s="832"/>
      <c r="BU35" s="571">
        <v>0.25</v>
      </c>
      <c r="BV35" s="1337"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349">
        <f>+AO35/4</f>
        <v>11288000</v>
      </c>
      <c r="BX35" s="1073"/>
      <c r="BY35" s="1346"/>
      <c r="BZ35" s="839">
        <f t="shared" si="40"/>
        <v>0</v>
      </c>
      <c r="CA35" s="1363">
        <f>+(BY35/BW35)</f>
        <v>0</v>
      </c>
      <c r="CB35" s="839">
        <f t="shared" si="41"/>
        <v>0.25</v>
      </c>
      <c r="CC35" s="1363">
        <f>+(BE35+AU35+BO35+BY35)/AO35</f>
        <v>0.18373493975903615</v>
      </c>
      <c r="CD35" s="1113"/>
      <c r="CE35" s="633">
        <f t="shared" si="2"/>
        <v>1</v>
      </c>
      <c r="CF35" s="1350">
        <f>IF(AND(AS35=0,AU35=0),"No Prog ni Ejec",IF(AS35=0,CONCATENATE("No Prog, Ejec=  ",AU35),AU35/AS35))</f>
        <v>0.73493975903614461</v>
      </c>
      <c r="CG35" s="633">
        <f t="shared" si="3"/>
        <v>0</v>
      </c>
      <c r="CH35" s="1350">
        <f>IF(AND(BC35=0,BE35=0),"No Prog ni Ejec",IF(BC35=0,CONCATENATE("No Prog, Ejec=  ",BE35),BE35/BC35))</f>
        <v>0</v>
      </c>
      <c r="CI35" s="633">
        <f t="shared" si="4"/>
        <v>0</v>
      </c>
      <c r="CJ35" s="1350">
        <f>IF(AND(BM35=0,BO35=0),"No Prog ni Ejec",IF(BM35=0,CONCATENATE("No Prog, Ejec=  ",BO35),BO35/BM35))</f>
        <v>0</v>
      </c>
      <c r="CK35" s="633">
        <f t="shared" si="5"/>
        <v>0</v>
      </c>
      <c r="CL35" s="1362">
        <f>IF(AND(BW35=0,BY35=0),"No Prog ni Ejec",IF(BW35=0,CONCATENATE("No Prog, Ejec=  ",BY35),BY35/BW35))</f>
        <v>0</v>
      </c>
      <c r="CM35" s="569">
        <f t="shared" si="6"/>
        <v>0</v>
      </c>
      <c r="CR35" s="69"/>
      <c r="CS35" s="69"/>
      <c r="CT35" s="69"/>
      <c r="CU35" s="69"/>
      <c r="CV35" s="69"/>
      <c r="CW35" s="121">
        <v>6</v>
      </c>
      <c r="CX35" s="69"/>
      <c r="CY35" s="69"/>
      <c r="CZ35" s="69"/>
      <c r="DA35" s="69"/>
      <c r="DB35" s="69"/>
      <c r="DC35" s="69"/>
    </row>
    <row r="36" spans="1:107" s="570" customFormat="1" ht="51" hidden="1" x14ac:dyDescent="0.2">
      <c r="A36" s="833">
        <v>11900</v>
      </c>
      <c r="B36" s="829" t="s">
        <v>125</v>
      </c>
      <c r="C36" s="829" t="s">
        <v>330</v>
      </c>
      <c r="D36" s="806"/>
      <c r="E36" s="806" t="s">
        <v>1017</v>
      </c>
      <c r="F36" s="806" t="s">
        <v>1017</v>
      </c>
      <c r="G36" s="806"/>
      <c r="H36" s="806"/>
      <c r="I36" s="806"/>
      <c r="J36" s="806"/>
      <c r="K36" s="806"/>
      <c r="L36" s="806"/>
      <c r="M36" s="806"/>
      <c r="N36" s="806"/>
      <c r="O36" s="806"/>
      <c r="P36" s="806"/>
      <c r="Q36" s="806" t="s">
        <v>204</v>
      </c>
      <c r="R36" s="806" t="s">
        <v>204</v>
      </c>
      <c r="S36" s="814" t="s">
        <v>126</v>
      </c>
      <c r="T36" s="806" t="s">
        <v>60</v>
      </c>
      <c r="U36" s="806" t="s">
        <v>204</v>
      </c>
      <c r="V36" s="806" t="s">
        <v>204</v>
      </c>
      <c r="W36" s="834" t="s">
        <v>624</v>
      </c>
      <c r="X36" s="829" t="s">
        <v>446</v>
      </c>
      <c r="Y36" s="564" t="s">
        <v>51</v>
      </c>
      <c r="Z36" s="839">
        <v>1</v>
      </c>
      <c r="AA36" s="1346"/>
      <c r="AB36" s="1381"/>
      <c r="AC36" s="1354"/>
      <c r="AD36" s="811">
        <v>1</v>
      </c>
      <c r="AE36" s="806" t="s">
        <v>17</v>
      </c>
      <c r="AF36" s="806" t="s">
        <v>28</v>
      </c>
      <c r="AG36" s="806" t="s">
        <v>204</v>
      </c>
      <c r="AH36" s="806" t="s">
        <v>633</v>
      </c>
      <c r="AI36" s="806" t="s">
        <v>1033</v>
      </c>
      <c r="AJ36" s="1201"/>
      <c r="AK36" s="829" t="s">
        <v>897</v>
      </c>
      <c r="AL36" s="806" t="s">
        <v>204</v>
      </c>
      <c r="AM36" s="839">
        <v>1</v>
      </c>
      <c r="AN36" s="1337"/>
      <c r="AO36" s="1353"/>
      <c r="AP36" s="836" t="s">
        <v>46</v>
      </c>
      <c r="AQ36" s="571">
        <v>0.25</v>
      </c>
      <c r="AR36" s="1337"/>
      <c r="AS36" s="1349"/>
      <c r="AT36" s="834"/>
      <c r="AU36" s="1382"/>
      <c r="AV36" s="832">
        <f t="shared" si="0"/>
        <v>0</v>
      </c>
      <c r="AW36" s="1343"/>
      <c r="AX36" s="832">
        <f t="shared" si="1"/>
        <v>0</v>
      </c>
      <c r="AY36" s="1343"/>
      <c r="AZ36" s="582"/>
      <c r="BA36" s="571">
        <v>0.25</v>
      </c>
      <c r="BB36" s="1337"/>
      <c r="BC36" s="1349"/>
      <c r="BD36" s="564"/>
      <c r="BE36" s="1349"/>
      <c r="BF36" s="832">
        <f t="shared" si="36"/>
        <v>0</v>
      </c>
      <c r="BG36" s="1343"/>
      <c r="BH36" s="832">
        <f t="shared" si="37"/>
        <v>0</v>
      </c>
      <c r="BI36" s="1343"/>
      <c r="BJ36" s="675"/>
      <c r="BK36" s="571">
        <v>0.25</v>
      </c>
      <c r="BL36" s="1337"/>
      <c r="BM36" s="1349"/>
      <c r="BN36" s="834"/>
      <c r="BO36" s="1349"/>
      <c r="BP36" s="832">
        <f t="shared" si="38"/>
        <v>0</v>
      </c>
      <c r="BQ36" s="1343"/>
      <c r="BR36" s="832">
        <f t="shared" si="39"/>
        <v>0</v>
      </c>
      <c r="BS36" s="1343"/>
      <c r="BT36" s="832"/>
      <c r="BU36" s="571">
        <v>0.25</v>
      </c>
      <c r="BV36" s="1337"/>
      <c r="BW36" s="1349"/>
      <c r="BX36" s="1073"/>
      <c r="BY36" s="1346"/>
      <c r="BZ36" s="839">
        <f t="shared" si="40"/>
        <v>0</v>
      </c>
      <c r="CA36" s="1363"/>
      <c r="CB36" s="839">
        <f t="shared" si="41"/>
        <v>0</v>
      </c>
      <c r="CC36" s="1363"/>
      <c r="CD36" s="1113"/>
      <c r="CE36" s="633">
        <f t="shared" si="2"/>
        <v>0</v>
      </c>
      <c r="CF36" s="1350"/>
      <c r="CG36" s="633">
        <f t="shared" si="3"/>
        <v>0</v>
      </c>
      <c r="CH36" s="1350"/>
      <c r="CI36" s="633">
        <f t="shared" si="4"/>
        <v>0</v>
      </c>
      <c r="CJ36" s="1350"/>
      <c r="CK36" s="633">
        <f t="shared" si="5"/>
        <v>0</v>
      </c>
      <c r="CL36" s="1362"/>
      <c r="CM36" s="569">
        <f t="shared" si="6"/>
        <v>0</v>
      </c>
      <c r="CR36" s="69"/>
      <c r="CS36" s="69"/>
      <c r="CT36" s="69"/>
      <c r="CU36" s="69"/>
      <c r="CV36" s="69"/>
      <c r="CW36" s="121">
        <v>6</v>
      </c>
      <c r="CX36" s="69"/>
      <c r="CY36" s="69"/>
      <c r="CZ36" s="69"/>
      <c r="DA36" s="69"/>
      <c r="DB36" s="69"/>
      <c r="DC36" s="69"/>
    </row>
    <row r="37" spans="1:107" s="570" customFormat="1" ht="89.25" hidden="1" x14ac:dyDescent="0.2">
      <c r="A37" s="833">
        <v>11900</v>
      </c>
      <c r="B37" s="829" t="s">
        <v>125</v>
      </c>
      <c r="C37" s="829" t="s">
        <v>330</v>
      </c>
      <c r="D37" s="829"/>
      <c r="E37" s="829" t="s">
        <v>1017</v>
      </c>
      <c r="F37" s="829" t="s">
        <v>1017</v>
      </c>
      <c r="G37" s="829"/>
      <c r="H37" s="829"/>
      <c r="I37" s="829"/>
      <c r="J37" s="829"/>
      <c r="K37" s="829"/>
      <c r="L37" s="829"/>
      <c r="M37" s="829"/>
      <c r="N37" s="829"/>
      <c r="O37" s="829"/>
      <c r="P37" s="829"/>
      <c r="Q37" s="829" t="s">
        <v>204</v>
      </c>
      <c r="R37" s="829" t="s">
        <v>204</v>
      </c>
      <c r="S37" s="834" t="s">
        <v>126</v>
      </c>
      <c r="T37" s="829" t="s">
        <v>60</v>
      </c>
      <c r="U37" s="829" t="s">
        <v>204</v>
      </c>
      <c r="V37" s="829" t="s">
        <v>204</v>
      </c>
      <c r="W37" s="834" t="s">
        <v>931</v>
      </c>
      <c r="X37" s="829" t="s">
        <v>1604</v>
      </c>
      <c r="Y37" s="564" t="s">
        <v>51</v>
      </c>
      <c r="Z37" s="839">
        <v>0.25</v>
      </c>
      <c r="AA37" s="834" t="s">
        <v>625</v>
      </c>
      <c r="AB37" s="848" t="s">
        <v>447</v>
      </c>
      <c r="AC37" s="838">
        <v>12240000</v>
      </c>
      <c r="AD37" s="571">
        <v>1</v>
      </c>
      <c r="AE37" s="829" t="s">
        <v>17</v>
      </c>
      <c r="AF37" s="829" t="s">
        <v>28</v>
      </c>
      <c r="AG37" s="829" t="s">
        <v>204</v>
      </c>
      <c r="AH37" s="829" t="s">
        <v>633</v>
      </c>
      <c r="AI37" s="829" t="s">
        <v>1033</v>
      </c>
      <c r="AJ37" s="829" t="s">
        <v>204</v>
      </c>
      <c r="AK37" s="829" t="s">
        <v>1746</v>
      </c>
      <c r="AL37" s="829"/>
      <c r="AM37" s="839">
        <f>+Z37</f>
        <v>0.25</v>
      </c>
      <c r="AN37" s="829" t="str">
        <f t="shared" ref="AN37:AO39" si="42">+AB37</f>
        <v xml:space="preserve">Apoyar a la Oficina Asesora Jurídica en las actividades relacionadas con el ejercicio de las funciones de la Secretaría Técnica  del Comité de Conciliación;  y en las actividades propias de dicho organismo en el Ekogui. </v>
      </c>
      <c r="AO37" s="837">
        <f t="shared" si="42"/>
        <v>12240000</v>
      </c>
      <c r="AP37" s="848" t="s">
        <v>46</v>
      </c>
      <c r="AQ37" s="571">
        <v>0.25</v>
      </c>
      <c r="AR37" s="829" t="str">
        <f>+AN37</f>
        <v xml:space="preserve">Apoyar a la Oficina Asesora Jurídica en las actividades relacionadas con el ejercicio de las funciones de la Secretaría Técnica  del Comité de Conciliación;  y en las actividades propias de dicho organismo en el Ekogui. </v>
      </c>
      <c r="AS37" s="835">
        <f>+AO37</f>
        <v>12240000</v>
      </c>
      <c r="AT37" s="571">
        <f>1/5*25%</f>
        <v>0.05</v>
      </c>
      <c r="AU37" s="849">
        <v>6664000</v>
      </c>
      <c r="AV37" s="832">
        <f t="shared" si="0"/>
        <v>0.2</v>
      </c>
      <c r="AW37" s="832">
        <f>+(AU37/AS37)</f>
        <v>0.5444444444444444</v>
      </c>
      <c r="AX37" s="832">
        <f t="shared" si="1"/>
        <v>0.2</v>
      </c>
      <c r="AY37" s="832">
        <f>+(AU37/AO37)</f>
        <v>0.5444444444444444</v>
      </c>
      <c r="AZ37" s="571" t="s">
        <v>1398</v>
      </c>
      <c r="BA37" s="571">
        <v>0</v>
      </c>
      <c r="BB37" s="829" t="str">
        <f>+AN37</f>
        <v xml:space="preserve">Apoyar a la Oficina Asesora Jurídica en las actividades relacionadas con el ejercicio de las funciones de la Secretaría Técnica  del Comité de Conciliación;  y en las actividades propias de dicho organismo en el Ekogui. </v>
      </c>
      <c r="BC37" s="835">
        <v>0</v>
      </c>
      <c r="BD37" s="564"/>
      <c r="BE37" s="835"/>
      <c r="BF37" s="832" t="e">
        <f t="shared" si="36"/>
        <v>#DIV/0!</v>
      </c>
      <c r="BG37" s="832" t="e">
        <f>+(BE37/BC37)</f>
        <v>#DIV/0!</v>
      </c>
      <c r="BH37" s="832">
        <f t="shared" si="37"/>
        <v>0.2</v>
      </c>
      <c r="BI37" s="832">
        <f>+(BE37+AU37)/AO37</f>
        <v>0.5444444444444444</v>
      </c>
      <c r="BJ37" s="675"/>
      <c r="BK37" s="571">
        <v>0</v>
      </c>
      <c r="BL37" s="829" t="str">
        <f>+AN37</f>
        <v xml:space="preserve">Apoyar a la Oficina Asesora Jurídica en las actividades relacionadas con el ejercicio de las funciones de la Secretaría Técnica  del Comité de Conciliación;  y en las actividades propias de dicho organismo en el Ekogui. </v>
      </c>
      <c r="BM37" s="835">
        <v>0</v>
      </c>
      <c r="BN37" s="834"/>
      <c r="BO37" s="958"/>
      <c r="BP37" s="832" t="e">
        <f t="shared" si="38"/>
        <v>#DIV/0!</v>
      </c>
      <c r="BQ37" s="832" t="e">
        <f>+(BO37/BM37)</f>
        <v>#DIV/0!</v>
      </c>
      <c r="BR37" s="832">
        <f t="shared" si="39"/>
        <v>0.2</v>
      </c>
      <c r="BS37" s="832">
        <f>+(BE37+AU37+BO37)/AO37</f>
        <v>0.5444444444444444</v>
      </c>
      <c r="BT37" s="832"/>
      <c r="BU37" s="571">
        <v>0</v>
      </c>
      <c r="BV37" s="829" t="str">
        <f>+AN37</f>
        <v xml:space="preserve">Apoyar a la Oficina Asesora Jurídica en las actividades relacionadas con el ejercicio de las funciones de la Secretaría Técnica  del Comité de Conciliación;  y en las actividades propias de dicho organismo en el Ekogui. </v>
      </c>
      <c r="BW37" s="835">
        <v>0</v>
      </c>
      <c r="BX37" s="1073"/>
      <c r="BY37" s="1073"/>
      <c r="BZ37" s="839" t="e">
        <f t="shared" si="40"/>
        <v>#DIV/0!</v>
      </c>
      <c r="CA37" s="839" t="e">
        <f>+(BY37/BW37)</f>
        <v>#DIV/0!</v>
      </c>
      <c r="CB37" s="839">
        <f t="shared" si="41"/>
        <v>0.2</v>
      </c>
      <c r="CC37" s="839">
        <f>+(BE37+AU37+BO37+BY37)/AO37</f>
        <v>0.5444444444444444</v>
      </c>
      <c r="CD37" s="1113"/>
      <c r="CE37" s="631">
        <f t="shared" ref="CE37" si="43">IF(AND(AQ37=0,AT37=0),"No Prog ni Ejec",IF(AQ37=0,CONCATENATE("No Prog, Ejec=  ",AT37),AT37/AQ37))</f>
        <v>0.2</v>
      </c>
      <c r="CF37" s="631">
        <f>IF(AND(AS37=0,AU37=0),"No Prog ni Ejec",IF(AS37=0,CONCATENATE("No Prog, Ejec=  ",AU37),AU37/AS37))</f>
        <v>0.5444444444444444</v>
      </c>
      <c r="CG37" s="631" t="str">
        <f t="shared" ref="CG37" si="44">IF(AND(BA37=0,BD37=0),"No Prog ni Ejec",IF(BA37=0,CONCATENATE("No Prog, Ejec=  ",BD37),BD37/BA37))</f>
        <v>No Prog ni Ejec</v>
      </c>
      <c r="CH37" s="631" t="str">
        <f>IF(AND(BC37=0,BE37=0),"No Prog ni Ejec",IF(BC37=0,CONCATENATE("No Prog, Ejec=  ",BE37),BE37/BC37))</f>
        <v>No Prog ni Ejec</v>
      </c>
      <c r="CI37" s="631" t="str">
        <f t="shared" ref="CI37" si="45">IF(AND(BK37=0,BN37=0),"No Prog ni Ejec",IF(BK37=0,CONCATENATE("No Prog, Ejec=  ",BN37),BN37/BK37))</f>
        <v>No Prog ni Ejec</v>
      </c>
      <c r="CJ37" s="631" t="str">
        <f>IF(AND(BM37=0,BO37=0),"No Prog ni Ejec",IF(BM37=0,CONCATENATE("No Prog, Ejec=  ",BO37),BO37/BM37))</f>
        <v>No Prog ni Ejec</v>
      </c>
      <c r="CK37" s="631" t="str">
        <f t="shared" ref="CK37" si="46">IF(AND(BU37=0,BX37=0),"No Prog ni Ejec",IF(BU37=0,CONCATENATE("No Prog, Ejec=  ",BX37),BX37/BU37))</f>
        <v>No Prog ni Ejec</v>
      </c>
      <c r="CL37" s="685" t="str">
        <f>IF(AND(BW37=0,BY37=0),"No Prog ni Ejec",IF(BW37=0,CONCATENATE("No Prog, Ejec=  ",BY37),BY37/BW37))</f>
        <v>No Prog ni Ejec</v>
      </c>
      <c r="CM37" s="569">
        <f t="shared" si="6"/>
        <v>0</v>
      </c>
      <c r="CW37" s="777"/>
    </row>
    <row r="38" spans="1:107" s="69" customFormat="1" ht="293.25" x14ac:dyDescent="0.2">
      <c r="A38" s="813">
        <v>11900</v>
      </c>
      <c r="B38" s="806" t="s">
        <v>125</v>
      </c>
      <c r="C38" s="806" t="s">
        <v>330</v>
      </c>
      <c r="D38" s="806"/>
      <c r="E38" s="806" t="s">
        <v>1017</v>
      </c>
      <c r="F38" s="806" t="s">
        <v>1017</v>
      </c>
      <c r="G38" s="806"/>
      <c r="H38" s="806"/>
      <c r="I38" s="806"/>
      <c r="J38" s="806"/>
      <c r="K38" s="806"/>
      <c r="L38" s="806"/>
      <c r="M38" s="806"/>
      <c r="N38" s="806"/>
      <c r="O38" s="806"/>
      <c r="P38" s="806"/>
      <c r="Q38" s="806" t="s">
        <v>204</v>
      </c>
      <c r="R38" s="806" t="s">
        <v>204</v>
      </c>
      <c r="S38" s="814" t="s">
        <v>126</v>
      </c>
      <c r="T38" s="806" t="s">
        <v>60</v>
      </c>
      <c r="U38" s="806" t="s">
        <v>204</v>
      </c>
      <c r="V38" s="806" t="s">
        <v>204</v>
      </c>
      <c r="W38" s="814" t="s">
        <v>931</v>
      </c>
      <c r="X38" s="806" t="s">
        <v>1604</v>
      </c>
      <c r="Y38" s="817" t="s">
        <v>51</v>
      </c>
      <c r="Z38" s="805">
        <v>0.75</v>
      </c>
      <c r="AA38" s="814" t="s">
        <v>625</v>
      </c>
      <c r="AB38" s="836" t="s">
        <v>447</v>
      </c>
      <c r="AC38" s="826">
        <v>0</v>
      </c>
      <c r="AD38" s="811">
        <v>1</v>
      </c>
      <c r="AE38" s="806" t="s">
        <v>17</v>
      </c>
      <c r="AF38" s="806" t="s">
        <v>28</v>
      </c>
      <c r="AG38" s="806" t="s">
        <v>204</v>
      </c>
      <c r="AH38" s="806" t="s">
        <v>633</v>
      </c>
      <c r="AI38" s="806" t="s">
        <v>1033</v>
      </c>
      <c r="AJ38" s="806" t="s">
        <v>204</v>
      </c>
      <c r="AK38" s="806" t="s">
        <v>1537</v>
      </c>
      <c r="AL38" s="806" t="s">
        <v>204</v>
      </c>
      <c r="AM38" s="811">
        <f>+Z38</f>
        <v>0.75</v>
      </c>
      <c r="AN38" s="806" t="str">
        <f t="shared" si="42"/>
        <v xml:space="preserve">Apoyar a la Oficina Asesora Jurídica en las actividades relacionadas con el ejercicio de las funciones de la Secretaría Técnica  del Comité de Conciliación;  y en las actividades propias de dicho organismo en el Ekogui. </v>
      </c>
      <c r="AO38" s="812">
        <f t="shared" si="42"/>
        <v>0</v>
      </c>
      <c r="AP38" s="836" t="s">
        <v>48</v>
      </c>
      <c r="AQ38" s="805" t="s">
        <v>204</v>
      </c>
      <c r="AR38" s="806" t="str">
        <f>+AN38</f>
        <v xml:space="preserve">Apoyar a la Oficina Asesora Jurídica en las actividades relacionadas con el ejercicio de las funciones de la Secretaría Técnica  del Comité de Conciliación;  y en las actividades propias de dicho organismo en el Ekogui. </v>
      </c>
      <c r="AS38" s="810">
        <f>+AO38/4</f>
        <v>0</v>
      </c>
      <c r="AT38" s="811" t="s">
        <v>204</v>
      </c>
      <c r="AU38" s="524" t="s">
        <v>204</v>
      </c>
      <c r="AV38" s="807" t="e">
        <f t="shared" si="0"/>
        <v>#VALUE!</v>
      </c>
      <c r="AW38" s="807" t="e">
        <f>+(AU38/AS38)</f>
        <v>#VALUE!</v>
      </c>
      <c r="AX38" s="807" t="e">
        <f t="shared" si="1"/>
        <v>#VALUE!</v>
      </c>
      <c r="AY38" s="807" t="e">
        <f>+(AU38/AO38)</f>
        <v>#VALUE!</v>
      </c>
      <c r="AZ38" s="461"/>
      <c r="BA38" s="805">
        <v>0.25</v>
      </c>
      <c r="BB38" s="806" t="str">
        <f>+AN38</f>
        <v xml:space="preserve">Apoyar a la Oficina Asesora Jurídica en las actividades relacionadas con el ejercicio de las funciones de la Secretaría Técnica  del Comité de Conciliación;  y en las actividades propias de dicho organismo en el Ekogui. </v>
      </c>
      <c r="BC38" s="810">
        <f>+AO38/4</f>
        <v>0</v>
      </c>
      <c r="BD38" s="824">
        <f>(5/5*25%)</f>
        <v>0.25</v>
      </c>
      <c r="BE38" s="810">
        <v>0</v>
      </c>
      <c r="BF38" s="807">
        <f t="shared" si="36"/>
        <v>1</v>
      </c>
      <c r="BG38" s="807" t="e">
        <f>+(BE38/BC38)</f>
        <v>#DIV/0!</v>
      </c>
      <c r="BH38" s="807">
        <f>+(BD38)/AM38</f>
        <v>0.33333333333333331</v>
      </c>
      <c r="BI38" s="807" t="e">
        <f>+(BE38+AU38)/AO38</f>
        <v>#VALUE!</v>
      </c>
      <c r="BJ38" s="809" t="s">
        <v>1714</v>
      </c>
      <c r="BK38" s="805">
        <v>0.25</v>
      </c>
      <c r="BL38" s="806" t="str">
        <f>+AN38</f>
        <v xml:space="preserve">Apoyar a la Oficina Asesora Jurídica en las actividades relacionadas con el ejercicio de las funciones de la Secretaría Técnica  del Comité de Conciliación;  y en las actividades propias de dicho organismo en el Ekogui. </v>
      </c>
      <c r="BM38" s="810">
        <f>+AO38/4</f>
        <v>0</v>
      </c>
      <c r="BN38" s="954">
        <f>4/9*25%</f>
        <v>0.1111111111111111</v>
      </c>
      <c r="BO38" s="946">
        <v>0</v>
      </c>
      <c r="BP38" s="807">
        <f t="shared" si="38"/>
        <v>0.44444444444444442</v>
      </c>
      <c r="BQ38" s="807" t="e">
        <f>+(BO38/BM38)</f>
        <v>#DIV/0!</v>
      </c>
      <c r="BR38" s="807">
        <f>+(BD38+BN38)/AM38</f>
        <v>0.48148148148148145</v>
      </c>
      <c r="BS38" s="807" t="e">
        <f>+(BE38+AU38+BO38)/AO38</f>
        <v>#VALUE!</v>
      </c>
      <c r="BT38" s="953" t="s">
        <v>1938</v>
      </c>
      <c r="BU38" s="805">
        <v>0.25</v>
      </c>
      <c r="BV38" s="806" t="str">
        <f>+AN38</f>
        <v xml:space="preserve">Apoyar a la Oficina Asesora Jurídica en las actividades relacionadas con el ejercicio de las funciones de la Secretaría Técnica  del Comité de Conciliación;  y en las actividades propias de dicho organismo en el Ekogui. </v>
      </c>
      <c r="BW38" s="810">
        <f>+AO38/4</f>
        <v>0</v>
      </c>
      <c r="BX38" s="1070">
        <f>(7/7*25%)</f>
        <v>0.25</v>
      </c>
      <c r="BY38" s="1064">
        <v>0</v>
      </c>
      <c r="BZ38" s="805">
        <f t="shared" si="40"/>
        <v>1</v>
      </c>
      <c r="CA38" s="805" t="e">
        <f>+(BY38/BW38)</f>
        <v>#DIV/0!</v>
      </c>
      <c r="CB38" s="805">
        <f>+(BD38+BN38+BX38)/AM38</f>
        <v>0.81481481481481488</v>
      </c>
      <c r="CC38" s="805" t="e">
        <f>+(BE38+AU38+BO38+BY38)/AO38</f>
        <v>#VALUE!</v>
      </c>
      <c r="CD38" s="465" t="s">
        <v>2039</v>
      </c>
      <c r="CE38" s="631" t="e">
        <f t="shared" si="2"/>
        <v>#VALUE!</v>
      </c>
      <c r="CF38" s="631" t="str">
        <f>IF(AND(AS38=0,AU38=0),"No Prog ni Ejec",IF(AS38=0,CONCATENATE("No Prog, Ejec=  ",AU38),AU38/AS38))</f>
        <v>No Prog, Ejec=  N.A</v>
      </c>
      <c r="CG38" s="631">
        <f t="shared" si="3"/>
        <v>1</v>
      </c>
      <c r="CH38" s="631" t="str">
        <f>IF(AND(BC38=0,BE38=0),"No Prog ni Ejec",IF(BC38=0,CONCATENATE("No Prog, Ejec=  ",BE38),BE38/BC38))</f>
        <v>No Prog ni Ejec</v>
      </c>
      <c r="CI38" s="631">
        <f t="shared" si="4"/>
        <v>0.44444444444444442</v>
      </c>
      <c r="CJ38" s="631" t="str">
        <f>IF(AND(BM38=0,BO38=0),"No Prog ni Ejec",IF(BM38=0,CONCATENATE("No Prog, Ejec=  ",BO38),BO38/BM38))</f>
        <v>No Prog ni Ejec</v>
      </c>
      <c r="CK38" s="631">
        <f t="shared" si="5"/>
        <v>1</v>
      </c>
      <c r="CL38" s="685" t="str">
        <f>IF(AND(BW38=0,BY38=0),"No Prog ni Ejec",IF(BW38=0,CONCATENATE("No Prog, Ejec=  ",BY38),BY38/BW38))</f>
        <v>No Prog ni Ejec</v>
      </c>
      <c r="CM38" s="127">
        <f t="shared" si="6"/>
        <v>0</v>
      </c>
      <c r="CW38" s="121">
        <v>6</v>
      </c>
    </row>
    <row r="39" spans="1:107" s="69" customFormat="1" ht="318.75" x14ac:dyDescent="0.2">
      <c r="A39" s="813">
        <v>11900</v>
      </c>
      <c r="B39" s="806" t="s">
        <v>125</v>
      </c>
      <c r="C39" s="806" t="s">
        <v>330</v>
      </c>
      <c r="D39" s="806"/>
      <c r="E39" s="806" t="s">
        <v>1017</v>
      </c>
      <c r="F39" s="806" t="s">
        <v>1017</v>
      </c>
      <c r="G39" s="806"/>
      <c r="H39" s="806"/>
      <c r="I39" s="806"/>
      <c r="J39" s="806"/>
      <c r="K39" s="806"/>
      <c r="L39" s="806"/>
      <c r="M39" s="806"/>
      <c r="N39" s="806"/>
      <c r="O39" s="806"/>
      <c r="P39" s="806"/>
      <c r="Q39" s="806" t="s">
        <v>204</v>
      </c>
      <c r="R39" s="806" t="s">
        <v>204</v>
      </c>
      <c r="S39" s="814" t="s">
        <v>126</v>
      </c>
      <c r="T39" s="806" t="s">
        <v>60</v>
      </c>
      <c r="U39" s="806" t="s">
        <v>204</v>
      </c>
      <c r="V39" s="806" t="s">
        <v>204</v>
      </c>
      <c r="W39" s="814" t="s">
        <v>649</v>
      </c>
      <c r="X39" s="806" t="s">
        <v>449</v>
      </c>
      <c r="Y39" s="817" t="s">
        <v>51</v>
      </c>
      <c r="Z39" s="805">
        <v>1</v>
      </c>
      <c r="AA39" s="1210" t="s">
        <v>648</v>
      </c>
      <c r="AB39" s="1351" t="s">
        <v>448</v>
      </c>
      <c r="AC39" s="1310">
        <v>27093804</v>
      </c>
      <c r="AD39" s="811">
        <v>1</v>
      </c>
      <c r="AE39" s="806" t="s">
        <v>17</v>
      </c>
      <c r="AF39" s="806" t="s">
        <v>28</v>
      </c>
      <c r="AG39" s="806" t="s">
        <v>204</v>
      </c>
      <c r="AH39" s="806" t="s">
        <v>633</v>
      </c>
      <c r="AI39" s="806" t="s">
        <v>1033</v>
      </c>
      <c r="AJ39" s="1327" t="s">
        <v>204</v>
      </c>
      <c r="AK39" s="806" t="s">
        <v>450</v>
      </c>
      <c r="AL39" s="806" t="s">
        <v>204</v>
      </c>
      <c r="AM39" s="805">
        <v>1</v>
      </c>
      <c r="AN39" s="1201" t="str">
        <f t="shared" si="42"/>
        <v>Apoyo a las actividades administrativas y operativas  requeridas por el Grupo de Representación Judicial</v>
      </c>
      <c r="AO39" s="1207">
        <f t="shared" si="42"/>
        <v>27093804</v>
      </c>
      <c r="AP39" s="836" t="s">
        <v>46</v>
      </c>
      <c r="AQ39" s="805">
        <v>0.25</v>
      </c>
      <c r="AR39" s="1201" t="str">
        <f>+AN39</f>
        <v>Apoyo a las actividades administrativas y operativas  requeridas por el Grupo de Representación Judicial</v>
      </c>
      <c r="AS39" s="1207">
        <f>+AO39/4</f>
        <v>6773451</v>
      </c>
      <c r="AT39" s="811">
        <f>641/641*25%</f>
        <v>0.25</v>
      </c>
      <c r="AU39" s="1210" t="s">
        <v>1383</v>
      </c>
      <c r="AV39" s="807">
        <f t="shared" si="0"/>
        <v>1</v>
      </c>
      <c r="AW39" s="1202">
        <f>+(AU39/AS39)</f>
        <v>0.66666651903143614</v>
      </c>
      <c r="AX39" s="807">
        <f t="shared" si="1"/>
        <v>0.25</v>
      </c>
      <c r="AY39" s="1202">
        <f>+(AU39/AO39)</f>
        <v>0.16666662975785904</v>
      </c>
      <c r="AZ39" s="461" t="s">
        <v>1399</v>
      </c>
      <c r="BA39" s="805">
        <v>0.25</v>
      </c>
      <c r="BB39" s="1201" t="str">
        <f>+AN39</f>
        <v>Apoyo a las actividades administrativas y operativas  requeridas por el Grupo de Representación Judicial</v>
      </c>
      <c r="BC39" s="1207">
        <f>+AO39/4</f>
        <v>6773451</v>
      </c>
      <c r="BD39" s="824">
        <f>(1501/1501*25%)</f>
        <v>0.25</v>
      </c>
      <c r="BE39" s="1205">
        <v>7389219</v>
      </c>
      <c r="BF39" s="807">
        <f t="shared" si="36"/>
        <v>1</v>
      </c>
      <c r="BG39" s="1202">
        <f>+(BE39/BC39)</f>
        <v>1.090909050644937</v>
      </c>
      <c r="BH39" s="807">
        <f t="shared" si="37"/>
        <v>0.5</v>
      </c>
      <c r="BI39" s="1202">
        <f>+(BE39+AU39)/AO39</f>
        <v>0.43939389241909332</v>
      </c>
      <c r="BJ39" s="809"/>
      <c r="BK39" s="805">
        <v>0.25</v>
      </c>
      <c r="BL39" s="1201" t="str">
        <f>+AN39</f>
        <v>Apoyo a las actividades administrativas y operativas  requeridas por el Grupo de Representación Judicial</v>
      </c>
      <c r="BM39" s="1207">
        <f>+AO39/4</f>
        <v>6773451</v>
      </c>
      <c r="BN39" s="954">
        <f>1550/1550*25%</f>
        <v>0.25</v>
      </c>
      <c r="BO39" s="1205">
        <v>7389219</v>
      </c>
      <c r="BP39" s="807">
        <f t="shared" si="38"/>
        <v>1</v>
      </c>
      <c r="BQ39" s="1202">
        <f>+(BO39/BM39)</f>
        <v>1.090909050644937</v>
      </c>
      <c r="BR39" s="807">
        <f t="shared" si="39"/>
        <v>0.75</v>
      </c>
      <c r="BS39" s="1202">
        <f>+(BE39+AU39+BO39)/AO39</f>
        <v>0.71212115508032758</v>
      </c>
      <c r="BT39" s="953" t="s">
        <v>1939</v>
      </c>
      <c r="BU39" s="805">
        <v>0.25</v>
      </c>
      <c r="BV39" s="1201" t="str">
        <f>+AN39</f>
        <v>Apoyo a las actividades administrativas y operativas  requeridas por el Grupo de Representación Judicial</v>
      </c>
      <c r="BW39" s="1207">
        <f>+AO39/4</f>
        <v>6773451</v>
      </c>
      <c r="BX39" s="1070">
        <f>(1251/1251*25%)</f>
        <v>0.25</v>
      </c>
      <c r="BY39" s="1364">
        <v>7389219</v>
      </c>
      <c r="BZ39" s="805">
        <f t="shared" si="40"/>
        <v>1</v>
      </c>
      <c r="CA39" s="1199">
        <f>+(BY39/BW39)</f>
        <v>1.090909050644937</v>
      </c>
      <c r="CB39" s="805">
        <f t="shared" si="41"/>
        <v>1</v>
      </c>
      <c r="CC39" s="1199">
        <f>+(BE39+AU39+BO39+BY39)/AO39</f>
        <v>0.98484841774156184</v>
      </c>
      <c r="CD39" s="465" t="s">
        <v>2040</v>
      </c>
      <c r="CE39" s="631">
        <f t="shared" si="2"/>
        <v>1</v>
      </c>
      <c r="CF39" s="1263">
        <f>IF(AND(AS39=0,AU39=0),"No Prog ni Ejec",IF(AS39=0,CONCATENATE("No Prog, Ejec=  ",AU39),AU39/AS39))</f>
        <v>0.66666651903143614</v>
      </c>
      <c r="CG39" s="631">
        <f t="shared" si="3"/>
        <v>1</v>
      </c>
      <c r="CH39" s="1263">
        <f>IF(AND(BC39=0,BE39=0),"No Prog ni Ejec",IF(BC39=0,CONCATENATE("No Prog, Ejec=  ",BE39),BE39/BC39))</f>
        <v>1.090909050644937</v>
      </c>
      <c r="CI39" s="631">
        <f t="shared" si="4"/>
        <v>1</v>
      </c>
      <c r="CJ39" s="1263">
        <f>IF(AND(BM39=0,BO39=0),"No Prog ni Ejec",IF(BM39=0,CONCATENATE("No Prog, Ejec=  ",BO39),BO39/BM39))</f>
        <v>1.090909050644937</v>
      </c>
      <c r="CK39" s="631">
        <f t="shared" si="5"/>
        <v>1</v>
      </c>
      <c r="CL39" s="1262">
        <f>IF(AND(BW39=0,BY39=0),"No Prog ni Ejec",IF(BW39=0,CONCATENATE("No Prog, Ejec=  ",BY39),BY39/BW39))</f>
        <v>1.090909050644937</v>
      </c>
      <c r="CM39" s="127">
        <f t="shared" si="6"/>
        <v>0</v>
      </c>
      <c r="CW39" s="121">
        <v>6</v>
      </c>
    </row>
    <row r="40" spans="1:107" s="69" customFormat="1" ht="76.5" x14ac:dyDescent="0.2">
      <c r="A40" s="813">
        <v>11900</v>
      </c>
      <c r="B40" s="806" t="s">
        <v>125</v>
      </c>
      <c r="C40" s="806" t="s">
        <v>330</v>
      </c>
      <c r="D40" s="806"/>
      <c r="E40" s="806" t="s">
        <v>1017</v>
      </c>
      <c r="F40" s="806" t="s">
        <v>1017</v>
      </c>
      <c r="G40" s="806"/>
      <c r="H40" s="806"/>
      <c r="I40" s="806"/>
      <c r="J40" s="806"/>
      <c r="K40" s="806"/>
      <c r="L40" s="806"/>
      <c r="M40" s="806"/>
      <c r="N40" s="806"/>
      <c r="O40" s="806"/>
      <c r="P40" s="806"/>
      <c r="Q40" s="806" t="s">
        <v>204</v>
      </c>
      <c r="R40" s="806" t="s">
        <v>204</v>
      </c>
      <c r="S40" s="814" t="s">
        <v>126</v>
      </c>
      <c r="T40" s="806" t="s">
        <v>60</v>
      </c>
      <c r="U40" s="806" t="s">
        <v>204</v>
      </c>
      <c r="V40" s="806" t="s">
        <v>204</v>
      </c>
      <c r="W40" s="814" t="s">
        <v>932</v>
      </c>
      <c r="X40" s="806" t="s">
        <v>451</v>
      </c>
      <c r="Y40" s="817" t="s">
        <v>51</v>
      </c>
      <c r="Z40" s="805">
        <v>1</v>
      </c>
      <c r="AA40" s="1210"/>
      <c r="AB40" s="1351"/>
      <c r="AC40" s="1310"/>
      <c r="AD40" s="811">
        <v>1</v>
      </c>
      <c r="AE40" s="806" t="s">
        <v>17</v>
      </c>
      <c r="AF40" s="806" t="s">
        <v>28</v>
      </c>
      <c r="AG40" s="806" t="s">
        <v>204</v>
      </c>
      <c r="AH40" s="806" t="s">
        <v>633</v>
      </c>
      <c r="AI40" s="806" t="s">
        <v>1033</v>
      </c>
      <c r="AJ40" s="1327"/>
      <c r="AK40" s="806" t="s">
        <v>452</v>
      </c>
      <c r="AL40" s="806" t="s">
        <v>204</v>
      </c>
      <c r="AM40" s="805">
        <v>1</v>
      </c>
      <c r="AN40" s="1201"/>
      <c r="AO40" s="1207"/>
      <c r="AP40" s="836" t="s">
        <v>46</v>
      </c>
      <c r="AQ40" s="805">
        <v>0.25</v>
      </c>
      <c r="AR40" s="1201"/>
      <c r="AS40" s="1207"/>
      <c r="AT40" s="811">
        <f>(899/899)*25%</f>
        <v>0.25</v>
      </c>
      <c r="AU40" s="1210"/>
      <c r="AV40" s="807">
        <f t="shared" si="0"/>
        <v>1</v>
      </c>
      <c r="AW40" s="1202"/>
      <c r="AX40" s="807">
        <f t="shared" si="1"/>
        <v>0.25</v>
      </c>
      <c r="AY40" s="1202"/>
      <c r="AZ40" s="461" t="s">
        <v>1400</v>
      </c>
      <c r="BA40" s="805">
        <v>0.25</v>
      </c>
      <c r="BB40" s="1201"/>
      <c r="BC40" s="1207"/>
      <c r="BD40" s="824">
        <f>(212/212*25%)</f>
        <v>0.25</v>
      </c>
      <c r="BE40" s="1205"/>
      <c r="BF40" s="807">
        <f t="shared" si="36"/>
        <v>1</v>
      </c>
      <c r="BG40" s="1202"/>
      <c r="BH40" s="807">
        <f t="shared" si="37"/>
        <v>0.5</v>
      </c>
      <c r="BI40" s="1202"/>
      <c r="BJ40" s="809"/>
      <c r="BK40" s="805">
        <v>0.25</v>
      </c>
      <c r="BL40" s="1201"/>
      <c r="BM40" s="1207"/>
      <c r="BN40" s="954">
        <f>620/620*25%</f>
        <v>0.25</v>
      </c>
      <c r="BO40" s="1205"/>
      <c r="BP40" s="807">
        <f t="shared" si="38"/>
        <v>1</v>
      </c>
      <c r="BQ40" s="1202"/>
      <c r="BR40" s="807">
        <f t="shared" si="39"/>
        <v>0.75</v>
      </c>
      <c r="BS40" s="1202"/>
      <c r="BT40" s="945"/>
      <c r="BU40" s="805">
        <v>0.25</v>
      </c>
      <c r="BV40" s="1201"/>
      <c r="BW40" s="1207"/>
      <c r="BX40" s="1070">
        <f>(527/527*25%)</f>
        <v>0.25</v>
      </c>
      <c r="BY40" s="1364"/>
      <c r="BZ40" s="805">
        <f t="shared" si="40"/>
        <v>1</v>
      </c>
      <c r="CA40" s="1199"/>
      <c r="CB40" s="805">
        <f t="shared" si="41"/>
        <v>1</v>
      </c>
      <c r="CC40" s="1199"/>
      <c r="CD40" s="682" t="s">
        <v>2041</v>
      </c>
      <c r="CE40" s="631">
        <f t="shared" si="2"/>
        <v>1</v>
      </c>
      <c r="CF40" s="1263"/>
      <c r="CG40" s="631">
        <f t="shared" si="3"/>
        <v>1</v>
      </c>
      <c r="CH40" s="1263"/>
      <c r="CI40" s="631">
        <f t="shared" si="4"/>
        <v>1</v>
      </c>
      <c r="CJ40" s="1263"/>
      <c r="CK40" s="631">
        <f t="shared" si="5"/>
        <v>1</v>
      </c>
      <c r="CL40" s="1262"/>
      <c r="CM40" s="127">
        <f t="shared" si="6"/>
        <v>0</v>
      </c>
      <c r="CW40" s="121">
        <v>6</v>
      </c>
    </row>
    <row r="41" spans="1:107" s="69" customFormat="1" ht="102" x14ac:dyDescent="0.2">
      <c r="A41" s="813">
        <v>11900</v>
      </c>
      <c r="B41" s="806" t="s">
        <v>125</v>
      </c>
      <c r="C41" s="806" t="s">
        <v>330</v>
      </c>
      <c r="D41" s="806"/>
      <c r="E41" s="806" t="s">
        <v>1017</v>
      </c>
      <c r="F41" s="806" t="s">
        <v>1017</v>
      </c>
      <c r="G41" s="806"/>
      <c r="H41" s="806"/>
      <c r="I41" s="806"/>
      <c r="J41" s="806"/>
      <c r="K41" s="806"/>
      <c r="L41" s="806"/>
      <c r="M41" s="806"/>
      <c r="N41" s="806"/>
      <c r="O41" s="806"/>
      <c r="P41" s="806"/>
      <c r="Q41" s="806" t="s">
        <v>204</v>
      </c>
      <c r="R41" s="806" t="s">
        <v>204</v>
      </c>
      <c r="S41" s="814" t="s">
        <v>126</v>
      </c>
      <c r="T41" s="806" t="s">
        <v>60</v>
      </c>
      <c r="U41" s="806" t="s">
        <v>204</v>
      </c>
      <c r="V41" s="806" t="s">
        <v>204</v>
      </c>
      <c r="W41" s="814" t="s">
        <v>1294</v>
      </c>
      <c r="X41" s="806" t="s">
        <v>463</v>
      </c>
      <c r="Y41" s="817" t="s">
        <v>51</v>
      </c>
      <c r="Z41" s="805">
        <v>1</v>
      </c>
      <c r="AA41" s="814" t="s">
        <v>650</v>
      </c>
      <c r="AB41" s="806" t="s">
        <v>461</v>
      </c>
      <c r="AC41" s="810">
        <v>272704248</v>
      </c>
      <c r="AD41" s="811">
        <v>1</v>
      </c>
      <c r="AE41" s="806" t="s">
        <v>17</v>
      </c>
      <c r="AF41" s="806" t="s">
        <v>28</v>
      </c>
      <c r="AG41" s="806" t="s">
        <v>204</v>
      </c>
      <c r="AH41" s="806" t="s">
        <v>633</v>
      </c>
      <c r="AI41" s="806" t="s">
        <v>1041</v>
      </c>
      <c r="AJ41" s="806" t="s">
        <v>1282</v>
      </c>
      <c r="AK41" s="806" t="s">
        <v>462</v>
      </c>
      <c r="AL41" s="806" t="s">
        <v>204</v>
      </c>
      <c r="AM41" s="811">
        <v>1</v>
      </c>
      <c r="AN41" s="806" t="str">
        <f t="shared" ref="AN41:AN52" si="47">+AB41</f>
        <v xml:space="preserve">Tramitar las acciones constitucionales y demás asuntos derivados de éstas, que se instauren contra la Administradora de los Recursos del Sistema General de Seguridad Social en Salud - ADRES o contra el entonces FOSYGA. </v>
      </c>
      <c r="AO41" s="812">
        <f t="shared" ref="AO41:AO52" si="48">+AC41</f>
        <v>272704248</v>
      </c>
      <c r="AP41" s="836" t="s">
        <v>46</v>
      </c>
      <c r="AQ41" s="805">
        <v>0.25</v>
      </c>
      <c r="AR41" s="806" t="str">
        <f>+AN41</f>
        <v xml:space="preserve">Tramitar las acciones constitucionales y demás asuntos derivados de éstas, que se instauren contra la Administradora de los Recursos del Sistema General de Seguridad Social en Salud - ADRES o contra el entonces FOSYGA. </v>
      </c>
      <c r="AS41" s="810">
        <f>+AO41/4</f>
        <v>68176062</v>
      </c>
      <c r="AT41" s="805">
        <f>(28975/30113)*(25/100)</f>
        <v>0.24055225317968984</v>
      </c>
      <c r="AU41" s="814">
        <v>36478906</v>
      </c>
      <c r="AV41" s="807">
        <f t="shared" si="0"/>
        <v>0.96220901271875936</v>
      </c>
      <c r="AW41" s="807">
        <f>+(AU41/AS41)</f>
        <v>0.53506912734267342</v>
      </c>
      <c r="AX41" s="807">
        <f t="shared" si="1"/>
        <v>0.24055225317968984</v>
      </c>
      <c r="AY41" s="807">
        <f>+(AU41/AO41)</f>
        <v>0.13376728183566836</v>
      </c>
      <c r="AZ41" s="475" t="s">
        <v>1401</v>
      </c>
      <c r="BA41" s="805">
        <v>0.25</v>
      </c>
      <c r="BB41" s="806" t="str">
        <f>+AN41</f>
        <v xml:space="preserve">Tramitar las acciones constitucionales y demás asuntos derivados de éstas, que se instauren contra la Administradora de los Recursos del Sistema General de Seguridad Social en Salud - ADRES o contra el entonces FOSYGA. </v>
      </c>
      <c r="BC41" s="810">
        <f>+AO41/4</f>
        <v>68176062</v>
      </c>
      <c r="BD41" s="488">
        <f>((33634/33661)*(25/100))</f>
        <v>0.24979947119812246</v>
      </c>
      <c r="BE41" s="810">
        <v>53124814</v>
      </c>
      <c r="BF41" s="792">
        <f t="shared" si="36"/>
        <v>0.99919788479248983</v>
      </c>
      <c r="BG41" s="807">
        <f>+(BE41/BC41)</f>
        <v>0.77922972435691573</v>
      </c>
      <c r="BH41" s="807">
        <f t="shared" si="37"/>
        <v>0.49035172437781227</v>
      </c>
      <c r="BI41" s="807">
        <f>+(BE41+AU41)/AO41</f>
        <v>0.32857471292489732</v>
      </c>
      <c r="BJ41" s="809" t="s">
        <v>1715</v>
      </c>
      <c r="BK41" s="805">
        <v>0.25</v>
      </c>
      <c r="BL41" s="806" t="str">
        <f>+AN41</f>
        <v xml:space="preserve">Tramitar las acciones constitucionales y demás asuntos derivados de éstas, que se instauren contra la Administradora de los Recursos del Sistema General de Seguridad Social en Salud - ADRES o contra el entonces FOSYGA. </v>
      </c>
      <c r="BM41" s="810">
        <f>+AO41/4</f>
        <v>68176062</v>
      </c>
      <c r="BN41" s="525">
        <f>(33634/33661)*(25/100)</f>
        <v>0.24979947119812246</v>
      </c>
      <c r="BO41" s="946">
        <v>60690714</v>
      </c>
      <c r="BP41" s="792">
        <f t="shared" si="38"/>
        <v>0.99919788479248983</v>
      </c>
      <c r="BQ41" s="807">
        <f>+(BO41/BM41)</f>
        <v>0.89020562671983017</v>
      </c>
      <c r="BR41" s="807">
        <f t="shared" si="39"/>
        <v>0.74015119557593478</v>
      </c>
      <c r="BS41" s="807">
        <f>+(BE41+AU41+BO41)/AO41</f>
        <v>0.5511261196048548</v>
      </c>
      <c r="BT41" s="948" t="s">
        <v>1940</v>
      </c>
      <c r="BU41" s="805">
        <v>0.25</v>
      </c>
      <c r="BV41" s="806" t="str">
        <f>+AN41</f>
        <v xml:space="preserve">Tramitar las acciones constitucionales y demás asuntos derivados de éstas, que se instauren contra la Administradora de los Recursos del Sistema General de Seguridad Social en Salud - ADRES o contra el entonces FOSYGA. </v>
      </c>
      <c r="BW41" s="810">
        <f>+AO41/4</f>
        <v>68176062</v>
      </c>
      <c r="BX41" s="1070">
        <f>(21606/22280*25%)</f>
        <v>0.24243716337522442</v>
      </c>
      <c r="BY41" s="1074">
        <v>67976508</v>
      </c>
      <c r="BZ41" s="805">
        <f t="shared" si="40"/>
        <v>0.96974865350089767</v>
      </c>
      <c r="CA41" s="805">
        <f>+(BY41/BW41)</f>
        <v>0.99707296088764996</v>
      </c>
      <c r="CB41" s="805">
        <f t="shared" si="41"/>
        <v>0.98258835895115926</v>
      </c>
      <c r="CC41" s="805">
        <f>+(BE41+AU41+BO41+BY41)/AO41</f>
        <v>0.80039435982676732</v>
      </c>
      <c r="CD41" s="486" t="s">
        <v>2042</v>
      </c>
      <c r="CE41" s="631">
        <f t="shared" si="2"/>
        <v>0.96220901271875936</v>
      </c>
      <c r="CF41" s="631">
        <f>IF(AND(AS41=0,AU41=0),"No Prog ni Ejec",IF(AS41=0,CONCATENATE("No Prog, Ejec=  ",AU41),AU41/AS41))</f>
        <v>0.53506912734267342</v>
      </c>
      <c r="CG41" s="631">
        <f t="shared" si="3"/>
        <v>0.99919788479248983</v>
      </c>
      <c r="CH41" s="631">
        <f>IF(AND(BC41=0,BE41=0),"No Prog ni Ejec",IF(BC41=0,CONCATENATE("No Prog, Ejec=  ",BE41),BE41/BC41))</f>
        <v>0.77922972435691573</v>
      </c>
      <c r="CI41" s="631">
        <f t="shared" si="4"/>
        <v>0.99919788479248983</v>
      </c>
      <c r="CJ41" s="631">
        <f>IF(AND(BM41=0,BO41=0),"No Prog ni Ejec",IF(BM41=0,CONCATENATE("No Prog, Ejec=  ",BO41),BO41/BM41))</f>
        <v>0.89020562671983017</v>
      </c>
      <c r="CK41" s="631">
        <f t="shared" si="5"/>
        <v>0.96974865350089767</v>
      </c>
      <c r="CL41" s="685">
        <f>IF(AND(BW41=0,BY41=0),"No Prog ni Ejec",IF(BW41=0,CONCATENATE("No Prog, Ejec=  ",BY41),BY41/BW41))</f>
        <v>0.99707296088764996</v>
      </c>
      <c r="CM41" s="127">
        <f t="shared" si="6"/>
        <v>0</v>
      </c>
      <c r="CW41" s="121">
        <v>6</v>
      </c>
    </row>
    <row r="42" spans="1:107" s="69" customFormat="1" ht="114.75" x14ac:dyDescent="0.2">
      <c r="A42" s="813">
        <v>11900</v>
      </c>
      <c r="B42" s="806" t="s">
        <v>125</v>
      </c>
      <c r="C42" s="806" t="s">
        <v>336</v>
      </c>
      <c r="D42" s="806" t="s">
        <v>1017</v>
      </c>
      <c r="E42" s="806"/>
      <c r="F42" s="806"/>
      <c r="G42" s="806"/>
      <c r="H42" s="806"/>
      <c r="I42" s="806"/>
      <c r="J42" s="806"/>
      <c r="K42" s="806"/>
      <c r="L42" s="806"/>
      <c r="M42" s="806"/>
      <c r="N42" s="806"/>
      <c r="O42" s="806"/>
      <c r="P42" s="806"/>
      <c r="Q42" s="806" t="s">
        <v>1123</v>
      </c>
      <c r="R42" s="806" t="s">
        <v>1129</v>
      </c>
      <c r="S42" s="814" t="s">
        <v>127</v>
      </c>
      <c r="T42" s="806" t="s">
        <v>94</v>
      </c>
      <c r="U42" s="806" t="s">
        <v>204</v>
      </c>
      <c r="V42" s="806" t="s">
        <v>204</v>
      </c>
      <c r="W42" s="814" t="s">
        <v>150</v>
      </c>
      <c r="X42" s="806" t="s">
        <v>1055</v>
      </c>
      <c r="Y42" s="817" t="s">
        <v>390</v>
      </c>
      <c r="Z42" s="66">
        <v>3</v>
      </c>
      <c r="AA42" s="814" t="s">
        <v>129</v>
      </c>
      <c r="AB42" s="806" t="s">
        <v>1054</v>
      </c>
      <c r="AC42" s="810">
        <v>0</v>
      </c>
      <c r="AD42" s="811">
        <v>1</v>
      </c>
      <c r="AE42" s="806" t="s">
        <v>17</v>
      </c>
      <c r="AF42" s="806" t="s">
        <v>295</v>
      </c>
      <c r="AG42" s="806" t="s">
        <v>204</v>
      </c>
      <c r="AH42" s="806" t="s">
        <v>633</v>
      </c>
      <c r="AI42" s="806" t="s">
        <v>1045</v>
      </c>
      <c r="AJ42" s="806" t="s">
        <v>1274</v>
      </c>
      <c r="AK42" s="806" t="s">
        <v>1056</v>
      </c>
      <c r="AL42" s="806" t="s">
        <v>204</v>
      </c>
      <c r="AM42" s="67">
        <v>3</v>
      </c>
      <c r="AN42" s="806" t="str">
        <f t="shared" si="47"/>
        <v>Realizar reuniones de autocontrol y seguimiento a los procesos que evidencien el monitoreo a los riesgos, indicadores, planes de mejoramiento, manuales y documentos asociados</v>
      </c>
      <c r="AO42" s="812">
        <f t="shared" si="48"/>
        <v>0</v>
      </c>
      <c r="AP42" s="836" t="s">
        <v>48</v>
      </c>
      <c r="AQ42" s="67">
        <v>0</v>
      </c>
      <c r="AR42" s="806" t="str">
        <f>+AN42</f>
        <v>Realizar reuniones de autocontrol y seguimiento a los procesos que evidencien el monitoreo a los riesgos, indicadores, planes de mejoramiento, manuales y documentos asociados</v>
      </c>
      <c r="AS42" s="810">
        <f>+AO42/4</f>
        <v>0</v>
      </c>
      <c r="AT42" s="814">
        <v>0</v>
      </c>
      <c r="AU42" s="814"/>
      <c r="AV42" s="807" t="e">
        <f t="shared" si="0"/>
        <v>#DIV/0!</v>
      </c>
      <c r="AW42" s="807" t="e">
        <f>+(AU42/AS42)</f>
        <v>#DIV/0!</v>
      </c>
      <c r="AX42" s="807">
        <f t="shared" si="1"/>
        <v>0</v>
      </c>
      <c r="AY42" s="807" t="e">
        <f>+(AU42/AO42)</f>
        <v>#DIV/0!</v>
      </c>
      <c r="AZ42" s="461" t="s">
        <v>1402</v>
      </c>
      <c r="BA42" s="67">
        <v>1</v>
      </c>
      <c r="BB42" s="806" t="str">
        <f>+AN42</f>
        <v>Realizar reuniones de autocontrol y seguimiento a los procesos que evidencien el monitoreo a los riesgos, indicadores, planes de mejoramiento, manuales y documentos asociados</v>
      </c>
      <c r="BC42" s="810">
        <f>+AO42/4</f>
        <v>0</v>
      </c>
      <c r="BD42" s="817">
        <v>2</v>
      </c>
      <c r="BE42" s="810">
        <v>0</v>
      </c>
      <c r="BF42" s="807">
        <f t="shared" si="36"/>
        <v>2</v>
      </c>
      <c r="BG42" s="807" t="e">
        <f>+(BE42/BC42)</f>
        <v>#DIV/0!</v>
      </c>
      <c r="BH42" s="807">
        <f>+(BD42+AT42)/AM42</f>
        <v>0.66666666666666663</v>
      </c>
      <c r="BI42" s="807" t="e">
        <f>+(BE42+AU42)/AO42</f>
        <v>#DIV/0!</v>
      </c>
      <c r="BJ42" s="809" t="s">
        <v>1716</v>
      </c>
      <c r="BK42" s="67">
        <v>1</v>
      </c>
      <c r="BL42" s="806" t="str">
        <f>+AN42</f>
        <v>Realizar reuniones de autocontrol y seguimiento a los procesos que evidencien el monitoreo a los riesgos, indicadores, planes de mejoramiento, manuales y documentos asociados</v>
      </c>
      <c r="BM42" s="810">
        <f>+AO42/4</f>
        <v>0</v>
      </c>
      <c r="BN42" s="949">
        <v>1</v>
      </c>
      <c r="BO42" s="946">
        <v>0</v>
      </c>
      <c r="BP42" s="807">
        <f t="shared" si="38"/>
        <v>1</v>
      </c>
      <c r="BQ42" s="807" t="e">
        <f>+(BO42/BM42)</f>
        <v>#DIV/0!</v>
      </c>
      <c r="BR42" s="807">
        <f>+(BD42+AT42+BN42)/AM42</f>
        <v>1</v>
      </c>
      <c r="BS42" s="807" t="e">
        <f>+(BE42+AU42+BO42)/AO42</f>
        <v>#DIV/0!</v>
      </c>
      <c r="BT42" s="947" t="s">
        <v>1941</v>
      </c>
      <c r="BU42" s="67">
        <v>1</v>
      </c>
      <c r="BV42" s="806" t="str">
        <f>+AN42</f>
        <v>Realizar reuniones de autocontrol y seguimiento a los procesos que evidencien el monitoreo a los riesgos, indicadores, planes de mejoramiento, manuales y documentos asociados</v>
      </c>
      <c r="BW42" s="810">
        <f>+AO42/4</f>
        <v>0</v>
      </c>
      <c r="BX42" s="455">
        <v>1</v>
      </c>
      <c r="BY42" s="1064">
        <v>0</v>
      </c>
      <c r="BZ42" s="805">
        <f t="shared" si="40"/>
        <v>1</v>
      </c>
      <c r="CA42" s="805" t="e">
        <f>+(BY42/BW42)</f>
        <v>#DIV/0!</v>
      </c>
      <c r="CB42" s="805">
        <f>+(BD42+AT42+BN42+BX42)/AM42</f>
        <v>1.3333333333333333</v>
      </c>
      <c r="CC42" s="805" t="e">
        <f>+(BE42+AU42+BO42+BY42)/AO42</f>
        <v>#DIV/0!</v>
      </c>
      <c r="CD42" s="486" t="s">
        <v>2092</v>
      </c>
      <c r="CE42" s="631" t="str">
        <f t="shared" si="2"/>
        <v>No Prog ni Ejec</v>
      </c>
      <c r="CF42" s="631" t="str">
        <f>IF(AND(AS42=0,AU42=0),"No Prog ni Ejec",IF(AS42=0,CONCATENATE("No Prog, Ejec=  ",AU42),AU42/AS42))</f>
        <v>No Prog ni Ejec</v>
      </c>
      <c r="CG42" s="631">
        <f t="shared" si="3"/>
        <v>2</v>
      </c>
      <c r="CH42" s="631" t="str">
        <f>IF(AND(BC42=0,BE42=0),"No Prog ni Ejec",IF(BC42=0,CONCATENATE("No Prog, Ejec=  ",BE42),BE42/BC42))</f>
        <v>No Prog ni Ejec</v>
      </c>
      <c r="CI42" s="631">
        <f t="shared" si="4"/>
        <v>1</v>
      </c>
      <c r="CJ42" s="631" t="str">
        <f>IF(AND(BM42=0,BO42=0),"No Prog ni Ejec",IF(BM42=0,CONCATENATE("No Prog, Ejec=  ",BO42),BO42/BM42))</f>
        <v>No Prog ni Ejec</v>
      </c>
      <c r="CK42" s="631">
        <f t="shared" si="5"/>
        <v>1</v>
      </c>
      <c r="CL42" s="685" t="str">
        <f>IF(AND(BW42=0,BY42=0),"No Prog ni Ejec",IF(BW42=0,CONCATENATE("No Prog, Ejec=  ",BY42),BY42/BW42))</f>
        <v>No Prog ni Ejec</v>
      </c>
      <c r="CM42" s="127">
        <f t="shared" si="6"/>
        <v>0</v>
      </c>
      <c r="CW42" s="121"/>
    </row>
    <row r="43" spans="1:107" s="69" customFormat="1" ht="89.25" x14ac:dyDescent="0.2">
      <c r="A43" s="813">
        <v>11800</v>
      </c>
      <c r="B43" s="806" t="s">
        <v>3</v>
      </c>
      <c r="C43" s="806" t="s">
        <v>330</v>
      </c>
      <c r="D43" s="806"/>
      <c r="E43" s="806" t="s">
        <v>1017</v>
      </c>
      <c r="F43" s="806"/>
      <c r="G43" s="806"/>
      <c r="H43" s="806"/>
      <c r="I43" s="806"/>
      <c r="J43" s="806"/>
      <c r="K43" s="806"/>
      <c r="L43" s="806"/>
      <c r="M43" s="806"/>
      <c r="N43" s="806"/>
      <c r="O43" s="806"/>
      <c r="P43" s="806"/>
      <c r="Q43" s="806" t="s">
        <v>204</v>
      </c>
      <c r="R43" s="806" t="s">
        <v>204</v>
      </c>
      <c r="S43" s="814" t="s">
        <v>116</v>
      </c>
      <c r="T43" s="806" t="s">
        <v>94</v>
      </c>
      <c r="U43" s="806" t="s">
        <v>204</v>
      </c>
      <c r="V43" s="806" t="s">
        <v>204</v>
      </c>
      <c r="W43" s="814" t="s">
        <v>118</v>
      </c>
      <c r="X43" s="806" t="s">
        <v>376</v>
      </c>
      <c r="Y43" s="817" t="s">
        <v>406</v>
      </c>
      <c r="Z43" s="814">
        <v>4</v>
      </c>
      <c r="AA43" s="814" t="s">
        <v>117</v>
      </c>
      <c r="AB43" s="806" t="s">
        <v>11</v>
      </c>
      <c r="AC43" s="826">
        <v>0</v>
      </c>
      <c r="AD43" s="811">
        <v>1</v>
      </c>
      <c r="AE43" s="806" t="s">
        <v>17</v>
      </c>
      <c r="AF43" s="806" t="s">
        <v>26</v>
      </c>
      <c r="AG43" s="806" t="s">
        <v>204</v>
      </c>
      <c r="AH43" s="806" t="s">
        <v>633</v>
      </c>
      <c r="AI43" s="806" t="s">
        <v>29</v>
      </c>
      <c r="AJ43" s="806" t="s">
        <v>204</v>
      </c>
      <c r="AK43" s="806" t="s">
        <v>422</v>
      </c>
      <c r="AL43" s="806" t="s">
        <v>44</v>
      </c>
      <c r="AM43" s="814">
        <v>4</v>
      </c>
      <c r="AN43" s="806" t="str">
        <f t="shared" si="47"/>
        <v>Reportar el cumplimiento del Plan de Acción de la Dependencia</v>
      </c>
      <c r="AO43" s="812">
        <f t="shared" si="48"/>
        <v>0</v>
      </c>
      <c r="AP43" s="836" t="s">
        <v>48</v>
      </c>
      <c r="AQ43" s="66">
        <v>1</v>
      </c>
      <c r="AR43" s="806" t="str">
        <f t="shared" ref="AR43:AR52" si="49">+AN43</f>
        <v>Reportar el cumplimiento del Plan de Acción de la Dependencia</v>
      </c>
      <c r="AS43" s="810">
        <v>0</v>
      </c>
      <c r="AT43" s="814">
        <v>1</v>
      </c>
      <c r="AU43" s="810">
        <v>0</v>
      </c>
      <c r="AV43" s="807">
        <f t="shared" ref="AV43:AV49" si="50">+(AT43/AQ43)</f>
        <v>1</v>
      </c>
      <c r="AW43" s="807" t="e">
        <f t="shared" ref="AW43:AW49" si="51">+(AU43/AS43)</f>
        <v>#DIV/0!</v>
      </c>
      <c r="AX43" s="807">
        <f t="shared" ref="AX43:AX49" si="52">+(AT43/AM43)</f>
        <v>0.25</v>
      </c>
      <c r="AY43" s="807" t="e">
        <f t="shared" ref="AY43:AY49" si="53">+(AU43/AO43)</f>
        <v>#DIV/0!</v>
      </c>
      <c r="AZ43" s="808" t="s">
        <v>1346</v>
      </c>
      <c r="BA43" s="814">
        <v>1</v>
      </c>
      <c r="BB43" s="806" t="str">
        <f t="shared" ref="BB43:BB52" si="54">+AN43</f>
        <v>Reportar el cumplimiento del Plan de Acción de la Dependencia</v>
      </c>
      <c r="BC43" s="810">
        <v>0</v>
      </c>
      <c r="BD43" s="817">
        <v>1</v>
      </c>
      <c r="BE43" s="810">
        <v>0</v>
      </c>
      <c r="BF43" s="807">
        <f t="shared" ref="BF43:BF49" si="55">+(BD43/BA43)</f>
        <v>1</v>
      </c>
      <c r="BG43" s="807" t="e">
        <f t="shared" ref="BG43:BG49" si="56">+(BE43/BC43)</f>
        <v>#DIV/0!</v>
      </c>
      <c r="BH43" s="807">
        <f t="shared" ref="BH43:BH49" si="57">+(BD43+AT43)/AM43</f>
        <v>0.5</v>
      </c>
      <c r="BI43" s="807" t="e">
        <f t="shared" ref="BI43:BI49" si="58">+(BE43+AU43)/AO43</f>
        <v>#DIV/0!</v>
      </c>
      <c r="BJ43" s="808" t="s">
        <v>1689</v>
      </c>
      <c r="BK43" s="814">
        <v>1</v>
      </c>
      <c r="BL43" s="806" t="str">
        <f t="shared" ref="BL43:BL51" si="59">+AN43</f>
        <v>Reportar el cumplimiento del Plan de Acción de la Dependencia</v>
      </c>
      <c r="BM43" s="810">
        <v>0</v>
      </c>
      <c r="BN43" s="912">
        <v>1</v>
      </c>
      <c r="BO43" s="911">
        <v>0</v>
      </c>
      <c r="BP43" s="807">
        <f t="shared" ref="BP43:BP49" si="60">+(BN43/BK43)</f>
        <v>1</v>
      </c>
      <c r="BQ43" s="807" t="e">
        <f t="shared" ref="BQ43:BQ49" si="61">+(BO43/BM43)</f>
        <v>#DIV/0!</v>
      </c>
      <c r="BR43" s="807">
        <f t="shared" ref="BR43:BR49" si="62">+(BD43+AT43+BN43)/AM43</f>
        <v>0.75</v>
      </c>
      <c r="BS43" s="807" t="e">
        <f t="shared" ref="BS43:BS49" si="63">+(BE43+AU43+BO43)/AO43</f>
        <v>#DIV/0!</v>
      </c>
      <c r="BT43" s="914" t="s">
        <v>1804</v>
      </c>
      <c r="BU43" s="814">
        <v>1</v>
      </c>
      <c r="BV43" s="806" t="str">
        <f t="shared" ref="BV43:BV52" si="64">+AN43</f>
        <v>Reportar el cumplimiento del Plan de Acción de la Dependencia</v>
      </c>
      <c r="BW43" s="810">
        <v>0</v>
      </c>
      <c r="BX43" s="1044">
        <v>1</v>
      </c>
      <c r="BY43" s="1043">
        <v>0</v>
      </c>
      <c r="BZ43" s="805">
        <f t="shared" ref="BZ43:BZ49" si="65">+(BX43/BU43)</f>
        <v>1</v>
      </c>
      <c r="CA43" s="805" t="e">
        <f t="shared" ref="CA43:CA49" si="66">+(BY43/BW43)</f>
        <v>#DIV/0!</v>
      </c>
      <c r="CB43" s="805">
        <f t="shared" ref="CB43:CB49" si="67">+(BD43+AT43+BN43+BX43)/AM43</f>
        <v>1</v>
      </c>
      <c r="CC43" s="805" t="e">
        <f t="shared" ref="CC43:CC49" si="68">+(BE43+AU43+BO43+BY43)/AO43</f>
        <v>#DIV/0!</v>
      </c>
      <c r="CD43" s="1059" t="s">
        <v>1964</v>
      </c>
      <c r="CE43" s="631">
        <f t="shared" ref="CE43:CE49" si="69">IF(AND(AQ43=0,AT43=0),"No Prog ni Ejec",IF(AQ43=0,CONCATENATE("No Prog, Ejec=  ",AT43),AT43/AQ43))</f>
        <v>1</v>
      </c>
      <c r="CF43" s="631" t="str">
        <f t="shared" ref="CF43:CF49" si="70">IF(AND(AS43=0,AU43=0),"No Prog ni Ejec",IF(AS43=0,CONCATENATE("No Prog, Ejec=  ",AU43),AU43/AS43))</f>
        <v>No Prog ni Ejec</v>
      </c>
      <c r="CG43" s="631">
        <f t="shared" ref="CG43:CG49" si="71">IF(AND(BA43=0,BD43=0),"No Prog ni Ejec",IF(BA43=0,CONCATENATE("No Prog, Ejec=  ",BD43),BD43/BA43))</f>
        <v>1</v>
      </c>
      <c r="CH43" s="631" t="str">
        <f t="shared" ref="CH43:CH49" si="72">IF(AND(BC43=0,BE43=0),"No Prog ni Ejec",IF(BC43=0,CONCATENATE("No Prog, Ejec=  ",BE43),BE43/BC43))</f>
        <v>No Prog ni Ejec</v>
      </c>
      <c r="CI43" s="631">
        <f t="shared" ref="CI43:CI49" si="73">IF(AND(BK43=0,BN43=0),"No Prog ni Ejec",IF(BK43=0,CONCATENATE("No Prog, Ejec=  ",BN43),BN43/BK43))</f>
        <v>1</v>
      </c>
      <c r="CJ43" s="631" t="str">
        <f t="shared" ref="CJ43:CJ49" si="74">IF(AND(BM43=0,BO43=0),"No Prog ni Ejec",IF(BM43=0,CONCATENATE("No Prog, Ejec=  ",BO43),BO43/BM43))</f>
        <v>No Prog ni Ejec</v>
      </c>
      <c r="CK43" s="631">
        <f t="shared" ref="CK43:CK49" si="75">IF(AND(BU43=0,BX43=0),"No Prog ni Ejec",IF(BU43=0,CONCATENATE("No Prog, Ejec=  ",BX43),BX43/BU43))</f>
        <v>1</v>
      </c>
      <c r="CL43" s="685" t="str">
        <f t="shared" ref="CL43:CL49" si="76">IF(AND(BW43=0,BY43=0),"No Prog ni Ejec",IF(BW43=0,CONCATENATE("No Prog, Ejec=  ",BY43),BY43/BW43))</f>
        <v>No Prog ni Ejec</v>
      </c>
      <c r="CM43" s="127">
        <f t="shared" si="6"/>
        <v>0</v>
      </c>
      <c r="CW43" s="121">
        <v>6</v>
      </c>
    </row>
    <row r="44" spans="1:107" s="69" customFormat="1" ht="330" customHeight="1" x14ac:dyDescent="0.2">
      <c r="A44" s="813">
        <v>11800</v>
      </c>
      <c r="B44" s="806" t="s">
        <v>3</v>
      </c>
      <c r="C44" s="806" t="s">
        <v>330</v>
      </c>
      <c r="D44" s="806"/>
      <c r="E44" s="806" t="s">
        <v>1017</v>
      </c>
      <c r="F44" s="806"/>
      <c r="G44" s="806"/>
      <c r="H44" s="806"/>
      <c r="I44" s="806"/>
      <c r="J44" s="806"/>
      <c r="K44" s="806"/>
      <c r="L44" s="806"/>
      <c r="M44" s="806"/>
      <c r="N44" s="806"/>
      <c r="O44" s="806"/>
      <c r="P44" s="806"/>
      <c r="Q44" s="806" t="s">
        <v>204</v>
      </c>
      <c r="R44" s="806" t="s">
        <v>204</v>
      </c>
      <c r="S44" s="814" t="s">
        <v>116</v>
      </c>
      <c r="T44" s="806" t="s">
        <v>94</v>
      </c>
      <c r="U44" s="806" t="s">
        <v>204</v>
      </c>
      <c r="V44" s="806" t="s">
        <v>204</v>
      </c>
      <c r="W44" s="814" t="s">
        <v>938</v>
      </c>
      <c r="X44" s="806" t="s">
        <v>885</v>
      </c>
      <c r="Y44" s="817" t="s">
        <v>406</v>
      </c>
      <c r="Z44" s="841">
        <v>13</v>
      </c>
      <c r="AA44" s="814" t="s">
        <v>933</v>
      </c>
      <c r="AB44" s="806" t="s">
        <v>377</v>
      </c>
      <c r="AC44" s="826">
        <v>0</v>
      </c>
      <c r="AD44" s="811">
        <v>1</v>
      </c>
      <c r="AE44" s="806" t="s">
        <v>287</v>
      </c>
      <c r="AF44" s="806" t="s">
        <v>304</v>
      </c>
      <c r="AG44" s="806" t="s">
        <v>204</v>
      </c>
      <c r="AH44" s="806" t="s">
        <v>633</v>
      </c>
      <c r="AI44" s="806" t="s">
        <v>83</v>
      </c>
      <c r="AJ44" s="806" t="s">
        <v>1284</v>
      </c>
      <c r="AK44" s="806" t="s">
        <v>1768</v>
      </c>
      <c r="AL44" s="806" t="s">
        <v>44</v>
      </c>
      <c r="AM44" s="66">
        <v>13</v>
      </c>
      <c r="AN44" s="806" t="str">
        <f t="shared" si="47"/>
        <v>Realizar las auditorías internas y otros informes, de acuerdo a lo programado para la vigencia en el Plan Anual Auditorias</v>
      </c>
      <c r="AO44" s="812">
        <f t="shared" si="48"/>
        <v>0</v>
      </c>
      <c r="AP44" s="836" t="s">
        <v>48</v>
      </c>
      <c r="AQ44" s="814">
        <v>1</v>
      </c>
      <c r="AR44" s="806" t="str">
        <f t="shared" si="49"/>
        <v>Realizar las auditorías internas y otros informes, de acuerdo a lo programado para la vigencia en el Plan Anual Auditorias</v>
      </c>
      <c r="AS44" s="810">
        <v>0</v>
      </c>
      <c r="AT44" s="814">
        <v>0</v>
      </c>
      <c r="AU44" s="810">
        <v>0</v>
      </c>
      <c r="AV44" s="807">
        <f t="shared" si="50"/>
        <v>0</v>
      </c>
      <c r="AW44" s="807" t="e">
        <f t="shared" si="51"/>
        <v>#DIV/0!</v>
      </c>
      <c r="AX44" s="807">
        <f t="shared" si="52"/>
        <v>0</v>
      </c>
      <c r="AY44" s="807" t="e">
        <f t="shared" si="53"/>
        <v>#DIV/0!</v>
      </c>
      <c r="AZ44" s="808" t="s">
        <v>1347</v>
      </c>
      <c r="BA44" s="814">
        <v>2</v>
      </c>
      <c r="BB44" s="806" t="str">
        <f t="shared" si="54"/>
        <v>Realizar las auditorías internas y otros informes, de acuerdo a lo programado para la vigencia en el Plan Anual Auditorias</v>
      </c>
      <c r="BC44" s="810">
        <v>0</v>
      </c>
      <c r="BD44" s="817">
        <v>2</v>
      </c>
      <c r="BE44" s="810">
        <v>0</v>
      </c>
      <c r="BF44" s="807">
        <f t="shared" si="55"/>
        <v>1</v>
      </c>
      <c r="BG44" s="807" t="e">
        <f t="shared" si="56"/>
        <v>#DIV/0!</v>
      </c>
      <c r="BH44" s="807">
        <f t="shared" si="57"/>
        <v>0.15384615384615385</v>
      </c>
      <c r="BI44" s="807" t="e">
        <f t="shared" si="58"/>
        <v>#DIV/0!</v>
      </c>
      <c r="BJ44" s="808" t="s">
        <v>1690</v>
      </c>
      <c r="BK44" s="558">
        <v>4</v>
      </c>
      <c r="BL44" s="806" t="str">
        <f t="shared" si="59"/>
        <v>Realizar las auditorías internas y otros informes, de acuerdo a lo programado para la vigencia en el Plan Anual Auditorias</v>
      </c>
      <c r="BM44" s="810">
        <v>0</v>
      </c>
      <c r="BN44" s="912">
        <v>4</v>
      </c>
      <c r="BO44" s="911">
        <v>0</v>
      </c>
      <c r="BP44" s="807">
        <f t="shared" si="60"/>
        <v>1</v>
      </c>
      <c r="BQ44" s="807" t="e">
        <f t="shared" si="61"/>
        <v>#DIV/0!</v>
      </c>
      <c r="BR44" s="807">
        <f t="shared" si="62"/>
        <v>0.46153846153846156</v>
      </c>
      <c r="BS44" s="807" t="e">
        <f t="shared" si="63"/>
        <v>#DIV/0!</v>
      </c>
      <c r="BT44" s="914" t="s">
        <v>1805</v>
      </c>
      <c r="BU44" s="558">
        <v>6</v>
      </c>
      <c r="BV44" s="806" t="str">
        <f t="shared" si="64"/>
        <v>Realizar las auditorías internas y otros informes, de acuerdo a lo programado para la vigencia en el Plan Anual Auditorias</v>
      </c>
      <c r="BW44" s="810">
        <v>0</v>
      </c>
      <c r="BX44" s="1044">
        <v>7</v>
      </c>
      <c r="BY44" s="1043">
        <v>0</v>
      </c>
      <c r="BZ44" s="805">
        <f t="shared" si="65"/>
        <v>1.1666666666666667</v>
      </c>
      <c r="CA44" s="805" t="e">
        <f t="shared" si="66"/>
        <v>#DIV/0!</v>
      </c>
      <c r="CB44" s="805">
        <f t="shared" si="67"/>
        <v>1</v>
      </c>
      <c r="CC44" s="805" t="e">
        <f t="shared" si="68"/>
        <v>#DIV/0!</v>
      </c>
      <c r="CD44" s="1059" t="s">
        <v>1965</v>
      </c>
      <c r="CE44" s="631">
        <f t="shared" si="69"/>
        <v>0</v>
      </c>
      <c r="CF44" s="631" t="str">
        <f t="shared" si="70"/>
        <v>No Prog ni Ejec</v>
      </c>
      <c r="CG44" s="631">
        <f t="shared" si="71"/>
        <v>1</v>
      </c>
      <c r="CH44" s="631" t="str">
        <f t="shared" si="72"/>
        <v>No Prog ni Ejec</v>
      </c>
      <c r="CI44" s="631">
        <f t="shared" si="73"/>
        <v>1</v>
      </c>
      <c r="CJ44" s="631" t="str">
        <f t="shared" si="74"/>
        <v>No Prog ni Ejec</v>
      </c>
      <c r="CK44" s="631">
        <f t="shared" si="75"/>
        <v>1.1666666666666667</v>
      </c>
      <c r="CL44" s="685" t="str">
        <f t="shared" si="76"/>
        <v>No Prog ni Ejec</v>
      </c>
      <c r="CM44" s="127">
        <f t="shared" si="6"/>
        <v>0</v>
      </c>
      <c r="CW44" s="121">
        <v>6</v>
      </c>
    </row>
    <row r="45" spans="1:107" s="69" customFormat="1" ht="292.5" customHeight="1" x14ac:dyDescent="0.2">
      <c r="A45" s="813">
        <v>11800</v>
      </c>
      <c r="B45" s="806" t="s">
        <v>3</v>
      </c>
      <c r="C45" s="806" t="s">
        <v>330</v>
      </c>
      <c r="D45" s="806"/>
      <c r="E45" s="806" t="s">
        <v>1017</v>
      </c>
      <c r="F45" s="806"/>
      <c r="G45" s="806"/>
      <c r="H45" s="806"/>
      <c r="I45" s="806"/>
      <c r="J45" s="806"/>
      <c r="K45" s="806"/>
      <c r="L45" s="806"/>
      <c r="M45" s="806"/>
      <c r="N45" s="806"/>
      <c r="O45" s="806"/>
      <c r="P45" s="806"/>
      <c r="Q45" s="806" t="s">
        <v>204</v>
      </c>
      <c r="R45" s="806" t="s">
        <v>204</v>
      </c>
      <c r="S45" s="814" t="s">
        <v>116</v>
      </c>
      <c r="T45" s="806" t="s">
        <v>94</v>
      </c>
      <c r="U45" s="806" t="s">
        <v>204</v>
      </c>
      <c r="V45" s="806" t="s">
        <v>204</v>
      </c>
      <c r="W45" s="814" t="s">
        <v>939</v>
      </c>
      <c r="X45" s="806" t="s">
        <v>378</v>
      </c>
      <c r="Y45" s="817" t="s">
        <v>406</v>
      </c>
      <c r="Z45" s="841">
        <v>20</v>
      </c>
      <c r="AA45" s="814" t="s">
        <v>934</v>
      </c>
      <c r="AB45" s="806" t="s">
        <v>379</v>
      </c>
      <c r="AC45" s="826">
        <v>0</v>
      </c>
      <c r="AD45" s="811">
        <v>1</v>
      </c>
      <c r="AE45" s="806" t="s">
        <v>19</v>
      </c>
      <c r="AF45" s="806" t="s">
        <v>25</v>
      </c>
      <c r="AG45" s="806" t="s">
        <v>204</v>
      </c>
      <c r="AH45" s="806" t="s">
        <v>633</v>
      </c>
      <c r="AI45" s="806" t="s">
        <v>83</v>
      </c>
      <c r="AJ45" s="806" t="s">
        <v>1284</v>
      </c>
      <c r="AK45" s="806" t="s">
        <v>1769</v>
      </c>
      <c r="AL45" s="806" t="s">
        <v>44</v>
      </c>
      <c r="AM45" s="66">
        <v>20</v>
      </c>
      <c r="AN45" s="806" t="str">
        <f t="shared" si="47"/>
        <v>Dar respuesta a los Requerimientos Legales Internos en el marco de la normatividad vigente</v>
      </c>
      <c r="AO45" s="812">
        <f t="shared" si="48"/>
        <v>0</v>
      </c>
      <c r="AP45" s="836" t="s">
        <v>48</v>
      </c>
      <c r="AQ45" s="66">
        <v>5</v>
      </c>
      <c r="AR45" s="806" t="str">
        <f t="shared" si="49"/>
        <v>Dar respuesta a los Requerimientos Legales Internos en el marco de la normatividad vigente</v>
      </c>
      <c r="AS45" s="810">
        <v>0</v>
      </c>
      <c r="AT45" s="814">
        <v>5</v>
      </c>
      <c r="AU45" s="810">
        <v>0</v>
      </c>
      <c r="AV45" s="807">
        <f t="shared" si="50"/>
        <v>1</v>
      </c>
      <c r="AW45" s="807" t="e">
        <f t="shared" si="51"/>
        <v>#DIV/0!</v>
      </c>
      <c r="AX45" s="807">
        <f t="shared" si="52"/>
        <v>0.25</v>
      </c>
      <c r="AY45" s="807" t="e">
        <f t="shared" si="53"/>
        <v>#DIV/0!</v>
      </c>
      <c r="AZ45" s="808" t="s">
        <v>1348</v>
      </c>
      <c r="BA45" s="66">
        <v>6</v>
      </c>
      <c r="BB45" s="806" t="str">
        <f t="shared" si="54"/>
        <v>Dar respuesta a los Requerimientos Legales Internos en el marco de la normatividad vigente</v>
      </c>
      <c r="BC45" s="810">
        <v>0</v>
      </c>
      <c r="BD45" s="817">
        <v>6</v>
      </c>
      <c r="BE45" s="810">
        <v>0</v>
      </c>
      <c r="BF45" s="807">
        <f t="shared" si="55"/>
        <v>1</v>
      </c>
      <c r="BG45" s="807" t="e">
        <f t="shared" si="56"/>
        <v>#DIV/0!</v>
      </c>
      <c r="BH45" s="807">
        <f t="shared" si="57"/>
        <v>0.55000000000000004</v>
      </c>
      <c r="BI45" s="807" t="e">
        <f t="shared" si="58"/>
        <v>#DIV/0!</v>
      </c>
      <c r="BJ45" s="808" t="s">
        <v>1691</v>
      </c>
      <c r="BK45" s="66">
        <v>5</v>
      </c>
      <c r="BL45" s="806" t="str">
        <f t="shared" si="59"/>
        <v>Dar respuesta a los Requerimientos Legales Internos en el marco de la normatividad vigente</v>
      </c>
      <c r="BM45" s="810">
        <v>0</v>
      </c>
      <c r="BN45" s="912">
        <v>5</v>
      </c>
      <c r="BO45" s="911">
        <v>0</v>
      </c>
      <c r="BP45" s="807">
        <f t="shared" si="60"/>
        <v>1</v>
      </c>
      <c r="BQ45" s="807" t="e">
        <f t="shared" si="61"/>
        <v>#DIV/0!</v>
      </c>
      <c r="BR45" s="807">
        <f t="shared" si="62"/>
        <v>0.8</v>
      </c>
      <c r="BS45" s="807" t="e">
        <f t="shared" si="63"/>
        <v>#DIV/0!</v>
      </c>
      <c r="BT45" s="914" t="s">
        <v>1806</v>
      </c>
      <c r="BU45" s="66">
        <v>4</v>
      </c>
      <c r="BV45" s="806" t="str">
        <f t="shared" si="64"/>
        <v>Dar respuesta a los Requerimientos Legales Internos en el marco de la normatividad vigente</v>
      </c>
      <c r="BW45" s="810">
        <v>0</v>
      </c>
      <c r="BX45" s="1044">
        <v>4</v>
      </c>
      <c r="BY45" s="1043">
        <v>0</v>
      </c>
      <c r="BZ45" s="805">
        <f t="shared" si="65"/>
        <v>1</v>
      </c>
      <c r="CA45" s="805" t="e">
        <f t="shared" si="66"/>
        <v>#DIV/0!</v>
      </c>
      <c r="CB45" s="805">
        <f t="shared" si="67"/>
        <v>1</v>
      </c>
      <c r="CC45" s="805" t="e">
        <f t="shared" si="68"/>
        <v>#DIV/0!</v>
      </c>
      <c r="CD45" s="1059" t="s">
        <v>1966</v>
      </c>
      <c r="CE45" s="631">
        <f t="shared" si="69"/>
        <v>1</v>
      </c>
      <c r="CF45" s="631" t="str">
        <f t="shared" si="70"/>
        <v>No Prog ni Ejec</v>
      </c>
      <c r="CG45" s="631">
        <f t="shared" si="71"/>
        <v>1</v>
      </c>
      <c r="CH45" s="631" t="str">
        <f t="shared" si="72"/>
        <v>No Prog ni Ejec</v>
      </c>
      <c r="CI45" s="631">
        <f t="shared" si="73"/>
        <v>1</v>
      </c>
      <c r="CJ45" s="631" t="str">
        <f t="shared" si="74"/>
        <v>No Prog ni Ejec</v>
      </c>
      <c r="CK45" s="631">
        <f t="shared" si="75"/>
        <v>1</v>
      </c>
      <c r="CL45" s="685" t="str">
        <f t="shared" si="76"/>
        <v>No Prog ni Ejec</v>
      </c>
      <c r="CM45" s="127">
        <f t="shared" si="6"/>
        <v>0</v>
      </c>
      <c r="CW45" s="121">
        <v>6</v>
      </c>
    </row>
    <row r="46" spans="1:107" s="69" customFormat="1" ht="382.5" x14ac:dyDescent="0.2">
      <c r="A46" s="813">
        <v>11800</v>
      </c>
      <c r="B46" s="806" t="s">
        <v>3</v>
      </c>
      <c r="C46" s="806" t="s">
        <v>330</v>
      </c>
      <c r="D46" s="806"/>
      <c r="E46" s="806" t="s">
        <v>1017</v>
      </c>
      <c r="F46" s="806"/>
      <c r="G46" s="806"/>
      <c r="H46" s="806"/>
      <c r="I46" s="806"/>
      <c r="J46" s="806"/>
      <c r="K46" s="806"/>
      <c r="L46" s="806"/>
      <c r="M46" s="806"/>
      <c r="N46" s="806"/>
      <c r="O46" s="806"/>
      <c r="P46" s="806"/>
      <c r="Q46" s="806" t="s">
        <v>204</v>
      </c>
      <c r="R46" s="806" t="s">
        <v>204</v>
      </c>
      <c r="S46" s="814" t="s">
        <v>116</v>
      </c>
      <c r="T46" s="806" t="s">
        <v>94</v>
      </c>
      <c r="U46" s="806" t="s">
        <v>204</v>
      </c>
      <c r="V46" s="806" t="s">
        <v>204</v>
      </c>
      <c r="W46" s="814" t="s">
        <v>940</v>
      </c>
      <c r="X46" s="806" t="s">
        <v>380</v>
      </c>
      <c r="Y46" s="817" t="s">
        <v>406</v>
      </c>
      <c r="Z46" s="841">
        <v>18</v>
      </c>
      <c r="AA46" s="814" t="s">
        <v>935</v>
      </c>
      <c r="AB46" s="806" t="s">
        <v>383</v>
      </c>
      <c r="AC46" s="810">
        <v>0</v>
      </c>
      <c r="AD46" s="811">
        <v>1</v>
      </c>
      <c r="AE46" s="806" t="s">
        <v>19</v>
      </c>
      <c r="AF46" s="806" t="s">
        <v>25</v>
      </c>
      <c r="AG46" s="806" t="s">
        <v>204</v>
      </c>
      <c r="AH46" s="806" t="s">
        <v>633</v>
      </c>
      <c r="AI46" s="806" t="s">
        <v>83</v>
      </c>
      <c r="AJ46" s="806" t="s">
        <v>1284</v>
      </c>
      <c r="AK46" s="806" t="s">
        <v>1770</v>
      </c>
      <c r="AL46" s="806" t="s">
        <v>44</v>
      </c>
      <c r="AM46" s="66">
        <v>18</v>
      </c>
      <c r="AN46" s="806" t="str">
        <f t="shared" si="47"/>
        <v>Dar respuesta a los Requerimientos Legales Externos en el marco de la normatividad vigente</v>
      </c>
      <c r="AO46" s="812">
        <f t="shared" si="48"/>
        <v>0</v>
      </c>
      <c r="AP46" s="836" t="s">
        <v>48</v>
      </c>
      <c r="AQ46" s="66">
        <v>8</v>
      </c>
      <c r="AR46" s="806" t="str">
        <f t="shared" si="49"/>
        <v>Dar respuesta a los Requerimientos Legales Externos en el marco de la normatividad vigente</v>
      </c>
      <c r="AS46" s="810">
        <v>0</v>
      </c>
      <c r="AT46" s="814">
        <v>8</v>
      </c>
      <c r="AU46" s="810">
        <v>0</v>
      </c>
      <c r="AV46" s="807">
        <f t="shared" si="50"/>
        <v>1</v>
      </c>
      <c r="AW46" s="807" t="e">
        <f t="shared" si="51"/>
        <v>#DIV/0!</v>
      </c>
      <c r="AX46" s="807">
        <f>+(AT46/AM46)</f>
        <v>0.44444444444444442</v>
      </c>
      <c r="AY46" s="807" t="e">
        <f t="shared" si="53"/>
        <v>#DIV/0!</v>
      </c>
      <c r="AZ46" s="808" t="s">
        <v>1349</v>
      </c>
      <c r="BA46" s="66">
        <v>4</v>
      </c>
      <c r="BB46" s="806" t="str">
        <f t="shared" si="54"/>
        <v>Dar respuesta a los Requerimientos Legales Externos en el marco de la normatividad vigente</v>
      </c>
      <c r="BC46" s="810">
        <v>0</v>
      </c>
      <c r="BD46" s="817">
        <v>4</v>
      </c>
      <c r="BE46" s="810">
        <v>0</v>
      </c>
      <c r="BF46" s="807">
        <f t="shared" si="55"/>
        <v>1</v>
      </c>
      <c r="BG46" s="807" t="e">
        <f t="shared" si="56"/>
        <v>#DIV/0!</v>
      </c>
      <c r="BH46" s="807">
        <f t="shared" si="57"/>
        <v>0.66666666666666663</v>
      </c>
      <c r="BI46" s="807" t="e">
        <f t="shared" si="58"/>
        <v>#DIV/0!</v>
      </c>
      <c r="BJ46" s="808" t="s">
        <v>1692</v>
      </c>
      <c r="BK46" s="66">
        <v>5</v>
      </c>
      <c r="BL46" s="806" t="str">
        <f t="shared" si="59"/>
        <v>Dar respuesta a los Requerimientos Legales Externos en el marco de la normatividad vigente</v>
      </c>
      <c r="BM46" s="810">
        <v>0</v>
      </c>
      <c r="BN46" s="912">
        <v>5</v>
      </c>
      <c r="BO46" s="911">
        <v>0</v>
      </c>
      <c r="BP46" s="807">
        <f t="shared" si="60"/>
        <v>1</v>
      </c>
      <c r="BQ46" s="807" t="e">
        <f t="shared" si="61"/>
        <v>#DIV/0!</v>
      </c>
      <c r="BR46" s="807">
        <f t="shared" si="62"/>
        <v>0.94444444444444442</v>
      </c>
      <c r="BS46" s="807" t="e">
        <f t="shared" si="63"/>
        <v>#DIV/0!</v>
      </c>
      <c r="BT46" s="914" t="s">
        <v>1807</v>
      </c>
      <c r="BU46" s="66">
        <v>1</v>
      </c>
      <c r="BV46" s="806" t="str">
        <f t="shared" si="64"/>
        <v>Dar respuesta a los Requerimientos Legales Externos en el marco de la normatividad vigente</v>
      </c>
      <c r="BW46" s="810">
        <v>0</v>
      </c>
      <c r="BX46" s="1044">
        <v>1</v>
      </c>
      <c r="BY46" s="1043">
        <v>0</v>
      </c>
      <c r="BZ46" s="805">
        <f t="shared" si="65"/>
        <v>1</v>
      </c>
      <c r="CA46" s="805" t="e">
        <f t="shared" si="66"/>
        <v>#DIV/0!</v>
      </c>
      <c r="CB46" s="805">
        <f t="shared" si="67"/>
        <v>1</v>
      </c>
      <c r="CC46" s="805" t="e">
        <f t="shared" si="68"/>
        <v>#DIV/0!</v>
      </c>
      <c r="CD46" s="1059" t="s">
        <v>1967</v>
      </c>
      <c r="CE46" s="631">
        <f t="shared" si="69"/>
        <v>1</v>
      </c>
      <c r="CF46" s="631" t="str">
        <f t="shared" si="70"/>
        <v>No Prog ni Ejec</v>
      </c>
      <c r="CG46" s="631">
        <f t="shared" si="71"/>
        <v>1</v>
      </c>
      <c r="CH46" s="631" t="str">
        <f t="shared" si="72"/>
        <v>No Prog ni Ejec</v>
      </c>
      <c r="CI46" s="631">
        <f t="shared" si="73"/>
        <v>1</v>
      </c>
      <c r="CJ46" s="631" t="str">
        <f t="shared" si="74"/>
        <v>No Prog ni Ejec</v>
      </c>
      <c r="CK46" s="631">
        <f t="shared" si="75"/>
        <v>1</v>
      </c>
      <c r="CL46" s="685" t="str">
        <f t="shared" si="76"/>
        <v>No Prog ni Ejec</v>
      </c>
      <c r="CM46" s="127">
        <f t="shared" si="6"/>
        <v>0</v>
      </c>
      <c r="CW46" s="121">
        <v>6</v>
      </c>
    </row>
    <row r="47" spans="1:107" s="69" customFormat="1" ht="127.5" x14ac:dyDescent="0.2">
      <c r="A47" s="813">
        <v>11800</v>
      </c>
      <c r="B47" s="806" t="s">
        <v>3</v>
      </c>
      <c r="C47" s="806" t="s">
        <v>330</v>
      </c>
      <c r="D47" s="806"/>
      <c r="E47" s="806" t="s">
        <v>1017</v>
      </c>
      <c r="F47" s="806"/>
      <c r="G47" s="806"/>
      <c r="H47" s="806"/>
      <c r="I47" s="806"/>
      <c r="J47" s="806"/>
      <c r="K47" s="806"/>
      <c r="L47" s="806"/>
      <c r="M47" s="806"/>
      <c r="N47" s="806"/>
      <c r="O47" s="806"/>
      <c r="P47" s="806"/>
      <c r="Q47" s="806" t="s">
        <v>204</v>
      </c>
      <c r="R47" s="806" t="s">
        <v>204</v>
      </c>
      <c r="S47" s="814" t="s">
        <v>116</v>
      </c>
      <c r="T47" s="806" t="s">
        <v>94</v>
      </c>
      <c r="U47" s="806" t="s">
        <v>204</v>
      </c>
      <c r="V47" s="806" t="s">
        <v>204</v>
      </c>
      <c r="W47" s="814" t="s">
        <v>941</v>
      </c>
      <c r="X47" s="806" t="s">
        <v>381</v>
      </c>
      <c r="Y47" s="817" t="s">
        <v>406</v>
      </c>
      <c r="Z47" s="66">
        <v>2</v>
      </c>
      <c r="AA47" s="814" t="s">
        <v>936</v>
      </c>
      <c r="AB47" s="806" t="s">
        <v>119</v>
      </c>
      <c r="AC47" s="810">
        <v>0</v>
      </c>
      <c r="AD47" s="811">
        <v>1</v>
      </c>
      <c r="AE47" s="806" t="s">
        <v>287</v>
      </c>
      <c r="AF47" s="806" t="s">
        <v>304</v>
      </c>
      <c r="AG47" s="806" t="s">
        <v>204</v>
      </c>
      <c r="AH47" s="806" t="s">
        <v>633</v>
      </c>
      <c r="AI47" s="806" t="s">
        <v>83</v>
      </c>
      <c r="AJ47" s="806" t="s">
        <v>1285</v>
      </c>
      <c r="AK47" s="806" t="s">
        <v>1771</v>
      </c>
      <c r="AL47" s="806" t="s">
        <v>44</v>
      </c>
      <c r="AM47" s="844">
        <v>2</v>
      </c>
      <c r="AN47" s="806" t="str">
        <f t="shared" si="47"/>
        <v>Medir el grado de cumplimiento de las acciones que hacen parte del Plan de mejoramiento institucional derivadas de la Auditoría de la CGR.</v>
      </c>
      <c r="AO47" s="812">
        <f t="shared" si="48"/>
        <v>0</v>
      </c>
      <c r="AP47" s="836" t="s">
        <v>48</v>
      </c>
      <c r="AQ47" s="66">
        <v>1</v>
      </c>
      <c r="AR47" s="806" t="str">
        <f t="shared" si="49"/>
        <v>Medir el grado de cumplimiento de las acciones que hacen parte del Plan de mejoramiento institucional derivadas de la Auditoría de la CGR.</v>
      </c>
      <c r="AS47" s="810">
        <v>0</v>
      </c>
      <c r="AT47" s="814">
        <v>1</v>
      </c>
      <c r="AU47" s="810">
        <v>0</v>
      </c>
      <c r="AV47" s="807">
        <f t="shared" si="50"/>
        <v>1</v>
      </c>
      <c r="AW47" s="807" t="e">
        <f t="shared" si="51"/>
        <v>#DIV/0!</v>
      </c>
      <c r="AX47" s="807">
        <f t="shared" si="52"/>
        <v>0.5</v>
      </c>
      <c r="AY47" s="807" t="e">
        <f t="shared" si="53"/>
        <v>#DIV/0!</v>
      </c>
      <c r="AZ47" s="808" t="s">
        <v>1350</v>
      </c>
      <c r="BA47" s="841">
        <v>0</v>
      </c>
      <c r="BB47" s="806" t="str">
        <f t="shared" si="54"/>
        <v>Medir el grado de cumplimiento de las acciones que hacen parte del Plan de mejoramiento institucional derivadas de la Auditoría de la CGR.</v>
      </c>
      <c r="BC47" s="810">
        <v>0</v>
      </c>
      <c r="BD47" s="817">
        <v>0</v>
      </c>
      <c r="BE47" s="810">
        <v>0</v>
      </c>
      <c r="BF47" s="807" t="e">
        <f t="shared" si="55"/>
        <v>#DIV/0!</v>
      </c>
      <c r="BG47" s="807" t="e">
        <f t="shared" si="56"/>
        <v>#DIV/0!</v>
      </c>
      <c r="BH47" s="807">
        <f t="shared" si="57"/>
        <v>0.5</v>
      </c>
      <c r="BI47" s="807" t="e">
        <f t="shared" si="58"/>
        <v>#DIV/0!</v>
      </c>
      <c r="BJ47" s="808" t="s">
        <v>1693</v>
      </c>
      <c r="BK47" s="66">
        <v>1</v>
      </c>
      <c r="BL47" s="806" t="str">
        <f t="shared" si="59"/>
        <v>Medir el grado de cumplimiento de las acciones que hacen parte del Plan de mejoramiento institucional derivadas de la Auditoría de la CGR.</v>
      </c>
      <c r="BM47" s="810">
        <v>0</v>
      </c>
      <c r="BN47" s="912">
        <v>1</v>
      </c>
      <c r="BO47" s="911">
        <v>0</v>
      </c>
      <c r="BP47" s="807">
        <f t="shared" si="60"/>
        <v>1</v>
      </c>
      <c r="BQ47" s="807" t="e">
        <f t="shared" si="61"/>
        <v>#DIV/0!</v>
      </c>
      <c r="BR47" s="807">
        <f t="shared" si="62"/>
        <v>1</v>
      </c>
      <c r="BS47" s="807" t="e">
        <f t="shared" si="63"/>
        <v>#DIV/0!</v>
      </c>
      <c r="BT47" s="914" t="s">
        <v>1808</v>
      </c>
      <c r="BU47" s="841">
        <v>0</v>
      </c>
      <c r="BV47" s="806" t="str">
        <f t="shared" si="64"/>
        <v>Medir el grado de cumplimiento de las acciones que hacen parte del Plan de mejoramiento institucional derivadas de la Auditoría de la CGR.</v>
      </c>
      <c r="BW47" s="810">
        <v>0</v>
      </c>
      <c r="BX47" s="1044">
        <v>0</v>
      </c>
      <c r="BY47" s="1043">
        <v>0</v>
      </c>
      <c r="BZ47" s="805" t="e">
        <f t="shared" si="65"/>
        <v>#DIV/0!</v>
      </c>
      <c r="CA47" s="805" t="e">
        <f t="shared" si="66"/>
        <v>#DIV/0!</v>
      </c>
      <c r="CB47" s="805">
        <f t="shared" si="67"/>
        <v>1</v>
      </c>
      <c r="CC47" s="805" t="e">
        <f t="shared" si="68"/>
        <v>#DIV/0!</v>
      </c>
      <c r="CD47" s="1060" t="s">
        <v>1968</v>
      </c>
      <c r="CE47" s="631">
        <f t="shared" si="69"/>
        <v>1</v>
      </c>
      <c r="CF47" s="631" t="str">
        <f t="shared" si="70"/>
        <v>No Prog ni Ejec</v>
      </c>
      <c r="CG47" s="631" t="str">
        <f t="shared" si="71"/>
        <v>No Prog ni Ejec</v>
      </c>
      <c r="CH47" s="631" t="str">
        <f t="shared" si="72"/>
        <v>No Prog ni Ejec</v>
      </c>
      <c r="CI47" s="631">
        <f t="shared" si="73"/>
        <v>1</v>
      </c>
      <c r="CJ47" s="631" t="str">
        <f t="shared" si="74"/>
        <v>No Prog ni Ejec</v>
      </c>
      <c r="CK47" s="631" t="str">
        <f t="shared" si="75"/>
        <v>No Prog ni Ejec</v>
      </c>
      <c r="CL47" s="685" t="str">
        <f t="shared" si="76"/>
        <v>No Prog ni Ejec</v>
      </c>
      <c r="CM47" s="127">
        <f t="shared" si="6"/>
        <v>0</v>
      </c>
      <c r="CW47" s="121">
        <v>6</v>
      </c>
    </row>
    <row r="48" spans="1:107" s="69" customFormat="1" ht="241.5" customHeight="1" x14ac:dyDescent="0.2">
      <c r="A48" s="813">
        <v>11800</v>
      </c>
      <c r="B48" s="806" t="s">
        <v>3</v>
      </c>
      <c r="C48" s="806" t="s">
        <v>330</v>
      </c>
      <c r="D48" s="806"/>
      <c r="E48" s="806" t="s">
        <v>1017</v>
      </c>
      <c r="F48" s="806"/>
      <c r="G48" s="806"/>
      <c r="H48" s="806"/>
      <c r="I48" s="806"/>
      <c r="J48" s="806"/>
      <c r="K48" s="806"/>
      <c r="L48" s="806"/>
      <c r="M48" s="806"/>
      <c r="N48" s="806"/>
      <c r="O48" s="806"/>
      <c r="P48" s="806"/>
      <c r="Q48" s="806" t="s">
        <v>204</v>
      </c>
      <c r="R48" s="806" t="s">
        <v>204</v>
      </c>
      <c r="S48" s="814" t="s">
        <v>116</v>
      </c>
      <c r="T48" s="806" t="s">
        <v>94</v>
      </c>
      <c r="U48" s="806" t="s">
        <v>204</v>
      </c>
      <c r="V48" s="806" t="s">
        <v>204</v>
      </c>
      <c r="W48" s="814" t="s">
        <v>942</v>
      </c>
      <c r="X48" s="806" t="s">
        <v>382</v>
      </c>
      <c r="Y48" s="817" t="s">
        <v>406</v>
      </c>
      <c r="Z48" s="66">
        <v>12</v>
      </c>
      <c r="AA48" s="814" t="s">
        <v>937</v>
      </c>
      <c r="AB48" s="806" t="s">
        <v>384</v>
      </c>
      <c r="AC48" s="810">
        <v>0</v>
      </c>
      <c r="AD48" s="811">
        <v>1</v>
      </c>
      <c r="AE48" s="806" t="s">
        <v>19</v>
      </c>
      <c r="AF48" s="806" t="s">
        <v>25</v>
      </c>
      <c r="AG48" s="806" t="s">
        <v>204</v>
      </c>
      <c r="AH48" s="806" t="s">
        <v>633</v>
      </c>
      <c r="AI48" s="806" t="s">
        <v>83</v>
      </c>
      <c r="AJ48" s="806" t="s">
        <v>204</v>
      </c>
      <c r="AK48" s="806" t="s">
        <v>1772</v>
      </c>
      <c r="AL48" s="806" t="s">
        <v>44</v>
      </c>
      <c r="AM48" s="844">
        <v>12</v>
      </c>
      <c r="AN48" s="806" t="str">
        <f t="shared" si="47"/>
        <v>Comunicar a través de Boletines informativos temas de autocontrol y fomentar la cultura del autocontrol en la ADRES.</v>
      </c>
      <c r="AO48" s="812">
        <f t="shared" si="48"/>
        <v>0</v>
      </c>
      <c r="AP48" s="836" t="s">
        <v>48</v>
      </c>
      <c r="AQ48" s="66">
        <v>3</v>
      </c>
      <c r="AR48" s="806" t="str">
        <f t="shared" si="49"/>
        <v>Comunicar a través de Boletines informativos temas de autocontrol y fomentar la cultura del autocontrol en la ADRES.</v>
      </c>
      <c r="AS48" s="810">
        <v>0</v>
      </c>
      <c r="AT48" s="814">
        <v>3</v>
      </c>
      <c r="AU48" s="810">
        <v>0</v>
      </c>
      <c r="AV48" s="807">
        <f t="shared" si="50"/>
        <v>1</v>
      </c>
      <c r="AW48" s="807" t="e">
        <f t="shared" si="51"/>
        <v>#DIV/0!</v>
      </c>
      <c r="AX48" s="807">
        <f t="shared" si="52"/>
        <v>0.25</v>
      </c>
      <c r="AY48" s="807" t="e">
        <f t="shared" si="53"/>
        <v>#DIV/0!</v>
      </c>
      <c r="AZ48" s="808" t="s">
        <v>1351</v>
      </c>
      <c r="BA48" s="841">
        <v>3</v>
      </c>
      <c r="BB48" s="806" t="str">
        <f t="shared" si="54"/>
        <v>Comunicar a través de Boletines informativos temas de autocontrol y fomentar la cultura del autocontrol en la ADRES.</v>
      </c>
      <c r="BC48" s="810">
        <v>0</v>
      </c>
      <c r="BD48" s="817">
        <v>3</v>
      </c>
      <c r="BE48" s="810">
        <v>0</v>
      </c>
      <c r="BF48" s="807">
        <f t="shared" si="55"/>
        <v>1</v>
      </c>
      <c r="BG48" s="807" t="e">
        <f t="shared" si="56"/>
        <v>#DIV/0!</v>
      </c>
      <c r="BH48" s="807">
        <f t="shared" si="57"/>
        <v>0.5</v>
      </c>
      <c r="BI48" s="807" t="e">
        <f t="shared" si="58"/>
        <v>#DIV/0!</v>
      </c>
      <c r="BJ48" s="808" t="s">
        <v>1694</v>
      </c>
      <c r="BK48" s="66">
        <v>3</v>
      </c>
      <c r="BL48" s="806" t="str">
        <f t="shared" si="59"/>
        <v>Comunicar a través de Boletines informativos temas de autocontrol y fomentar la cultura del autocontrol en la ADRES.</v>
      </c>
      <c r="BM48" s="810">
        <v>0</v>
      </c>
      <c r="BN48" s="912">
        <v>3</v>
      </c>
      <c r="BO48" s="911">
        <v>0</v>
      </c>
      <c r="BP48" s="807">
        <f t="shared" si="60"/>
        <v>1</v>
      </c>
      <c r="BQ48" s="807" t="e">
        <f t="shared" si="61"/>
        <v>#DIV/0!</v>
      </c>
      <c r="BR48" s="807">
        <f t="shared" si="62"/>
        <v>0.75</v>
      </c>
      <c r="BS48" s="807" t="e">
        <f t="shared" si="63"/>
        <v>#DIV/0!</v>
      </c>
      <c r="BT48" s="914" t="s">
        <v>1809</v>
      </c>
      <c r="BU48" s="841">
        <v>3</v>
      </c>
      <c r="BV48" s="806" t="str">
        <f t="shared" si="64"/>
        <v>Comunicar a través de Boletines informativos temas de autocontrol y fomentar la cultura del autocontrol en la ADRES.</v>
      </c>
      <c r="BW48" s="810">
        <v>0</v>
      </c>
      <c r="BX48" s="1044">
        <v>3</v>
      </c>
      <c r="BY48" s="1043">
        <v>0</v>
      </c>
      <c r="BZ48" s="805">
        <f t="shared" si="65"/>
        <v>1</v>
      </c>
      <c r="CA48" s="805" t="e">
        <f t="shared" si="66"/>
        <v>#DIV/0!</v>
      </c>
      <c r="CB48" s="805">
        <f t="shared" si="67"/>
        <v>1</v>
      </c>
      <c r="CC48" s="805" t="e">
        <f t="shared" si="68"/>
        <v>#DIV/0!</v>
      </c>
      <c r="CD48" s="1061" t="s">
        <v>1969</v>
      </c>
      <c r="CE48" s="631">
        <f t="shared" si="69"/>
        <v>1</v>
      </c>
      <c r="CF48" s="631" t="str">
        <f t="shared" si="70"/>
        <v>No Prog ni Ejec</v>
      </c>
      <c r="CG48" s="631">
        <f t="shared" si="71"/>
        <v>1</v>
      </c>
      <c r="CH48" s="631" t="str">
        <f t="shared" si="72"/>
        <v>No Prog ni Ejec</v>
      </c>
      <c r="CI48" s="631">
        <f t="shared" si="73"/>
        <v>1</v>
      </c>
      <c r="CJ48" s="631" t="str">
        <f t="shared" si="74"/>
        <v>No Prog ni Ejec</v>
      </c>
      <c r="CK48" s="631">
        <f t="shared" si="75"/>
        <v>1</v>
      </c>
      <c r="CL48" s="685" t="str">
        <f t="shared" si="76"/>
        <v>No Prog ni Ejec</v>
      </c>
      <c r="CM48" s="127">
        <f t="shared" si="6"/>
        <v>0</v>
      </c>
      <c r="CW48" s="121">
        <v>6</v>
      </c>
    </row>
    <row r="49" spans="1:106" s="69" customFormat="1" ht="114.75" x14ac:dyDescent="0.2">
      <c r="A49" s="813">
        <v>11800</v>
      </c>
      <c r="B49" s="806" t="s">
        <v>3</v>
      </c>
      <c r="C49" s="806" t="s">
        <v>336</v>
      </c>
      <c r="D49" s="806" t="s">
        <v>1017</v>
      </c>
      <c r="E49" s="806"/>
      <c r="F49" s="806"/>
      <c r="G49" s="806"/>
      <c r="H49" s="806"/>
      <c r="I49" s="806"/>
      <c r="J49" s="806"/>
      <c r="K49" s="806"/>
      <c r="L49" s="806"/>
      <c r="M49" s="806"/>
      <c r="N49" s="806"/>
      <c r="O49" s="806"/>
      <c r="P49" s="806"/>
      <c r="Q49" s="806" t="s">
        <v>1123</v>
      </c>
      <c r="R49" s="806" t="s">
        <v>1129</v>
      </c>
      <c r="S49" s="814" t="s">
        <v>116</v>
      </c>
      <c r="T49" s="806" t="s">
        <v>94</v>
      </c>
      <c r="U49" s="806" t="s">
        <v>204</v>
      </c>
      <c r="V49" s="806" t="s">
        <v>204</v>
      </c>
      <c r="W49" s="814" t="s">
        <v>960</v>
      </c>
      <c r="X49" s="806" t="s">
        <v>1055</v>
      </c>
      <c r="Y49" s="817" t="s">
        <v>390</v>
      </c>
      <c r="Z49" s="66">
        <v>3</v>
      </c>
      <c r="AA49" s="814" t="s">
        <v>959</v>
      </c>
      <c r="AB49" s="806" t="s">
        <v>1054</v>
      </c>
      <c r="AC49" s="810">
        <v>0</v>
      </c>
      <c r="AD49" s="811">
        <v>1</v>
      </c>
      <c r="AE49" s="806" t="s">
        <v>17</v>
      </c>
      <c r="AF49" s="806" t="s">
        <v>295</v>
      </c>
      <c r="AG49" s="806" t="s">
        <v>204</v>
      </c>
      <c r="AH49" s="806" t="s">
        <v>633</v>
      </c>
      <c r="AI49" s="806" t="s">
        <v>1045</v>
      </c>
      <c r="AJ49" s="806" t="s">
        <v>1274</v>
      </c>
      <c r="AK49" s="806" t="s">
        <v>1056</v>
      </c>
      <c r="AL49" s="806" t="s">
        <v>204</v>
      </c>
      <c r="AM49" s="67">
        <v>3</v>
      </c>
      <c r="AN49" s="806" t="str">
        <f t="shared" si="47"/>
        <v>Realizar reuniones de autocontrol y seguimiento a los procesos que evidencien el monitoreo a los riesgos, indicadores, planes de mejoramiento, manuales y documentos asociados</v>
      </c>
      <c r="AO49" s="812">
        <f t="shared" si="48"/>
        <v>0</v>
      </c>
      <c r="AP49" s="836" t="s">
        <v>48</v>
      </c>
      <c r="AQ49" s="67">
        <v>0</v>
      </c>
      <c r="AR49" s="806" t="str">
        <f t="shared" si="49"/>
        <v>Realizar reuniones de autocontrol y seguimiento a los procesos que evidencien el monitoreo a los riesgos, indicadores, planes de mejoramiento, manuales y documentos asociados</v>
      </c>
      <c r="AS49" s="810">
        <f>+AO49/4</f>
        <v>0</v>
      </c>
      <c r="AT49" s="814">
        <v>0</v>
      </c>
      <c r="AU49" s="810">
        <v>0</v>
      </c>
      <c r="AV49" s="807" t="e">
        <f t="shared" si="50"/>
        <v>#DIV/0!</v>
      </c>
      <c r="AW49" s="807" t="e">
        <f t="shared" si="51"/>
        <v>#DIV/0!</v>
      </c>
      <c r="AX49" s="807">
        <f t="shared" si="52"/>
        <v>0</v>
      </c>
      <c r="AY49" s="807" t="e">
        <f t="shared" si="53"/>
        <v>#DIV/0!</v>
      </c>
      <c r="AZ49" s="808" t="s">
        <v>1352</v>
      </c>
      <c r="BA49" s="67">
        <v>1</v>
      </c>
      <c r="BB49" s="806" t="str">
        <f t="shared" si="54"/>
        <v>Realizar reuniones de autocontrol y seguimiento a los procesos que evidencien el monitoreo a los riesgos, indicadores, planes de mejoramiento, manuales y documentos asociados</v>
      </c>
      <c r="BC49" s="810">
        <f>+AO49/4</f>
        <v>0</v>
      </c>
      <c r="BD49" s="817">
        <v>1</v>
      </c>
      <c r="BE49" s="810">
        <v>0</v>
      </c>
      <c r="BF49" s="807">
        <f t="shared" si="55"/>
        <v>1</v>
      </c>
      <c r="BG49" s="807" t="e">
        <f t="shared" si="56"/>
        <v>#DIV/0!</v>
      </c>
      <c r="BH49" s="807">
        <f t="shared" si="57"/>
        <v>0.33333333333333331</v>
      </c>
      <c r="BI49" s="807" t="e">
        <f t="shared" si="58"/>
        <v>#DIV/0!</v>
      </c>
      <c r="BJ49" s="808" t="s">
        <v>1695</v>
      </c>
      <c r="BK49" s="67">
        <v>1</v>
      </c>
      <c r="BL49" s="806" t="str">
        <f t="shared" si="59"/>
        <v>Realizar reuniones de autocontrol y seguimiento a los procesos que evidencien el monitoreo a los riesgos, indicadores, planes de mejoramiento, manuales y documentos asociados</v>
      </c>
      <c r="BM49" s="810">
        <f>+AO49/4</f>
        <v>0</v>
      </c>
      <c r="BN49" s="912">
        <v>1</v>
      </c>
      <c r="BO49" s="911">
        <v>0</v>
      </c>
      <c r="BP49" s="807">
        <f t="shared" si="60"/>
        <v>1</v>
      </c>
      <c r="BQ49" s="807" t="e">
        <f t="shared" si="61"/>
        <v>#DIV/0!</v>
      </c>
      <c r="BR49" s="807">
        <f t="shared" si="62"/>
        <v>0.66666666666666663</v>
      </c>
      <c r="BS49" s="807" t="e">
        <f t="shared" si="63"/>
        <v>#DIV/0!</v>
      </c>
      <c r="BT49" s="914" t="s">
        <v>1695</v>
      </c>
      <c r="BU49" s="67">
        <v>1</v>
      </c>
      <c r="BV49" s="806" t="str">
        <f t="shared" si="64"/>
        <v>Realizar reuniones de autocontrol y seguimiento a los procesos que evidencien el monitoreo a los riesgos, indicadores, planes de mejoramiento, manuales y documentos asociados</v>
      </c>
      <c r="BW49" s="810">
        <f>+AO49/4</f>
        <v>0</v>
      </c>
      <c r="BX49" s="1044">
        <v>1</v>
      </c>
      <c r="BY49" s="1043">
        <v>0</v>
      </c>
      <c r="BZ49" s="805">
        <f t="shared" si="65"/>
        <v>1</v>
      </c>
      <c r="CA49" s="805" t="e">
        <f t="shared" si="66"/>
        <v>#DIV/0!</v>
      </c>
      <c r="CB49" s="805">
        <f t="shared" si="67"/>
        <v>1</v>
      </c>
      <c r="CC49" s="805" t="e">
        <f t="shared" si="68"/>
        <v>#DIV/0!</v>
      </c>
      <c r="CD49" s="1059" t="s">
        <v>1970</v>
      </c>
      <c r="CE49" s="631" t="str">
        <f t="shared" si="69"/>
        <v>No Prog ni Ejec</v>
      </c>
      <c r="CF49" s="631" t="str">
        <f t="shared" si="70"/>
        <v>No Prog ni Ejec</v>
      </c>
      <c r="CG49" s="631">
        <f t="shared" si="71"/>
        <v>1</v>
      </c>
      <c r="CH49" s="631" t="str">
        <f t="shared" si="72"/>
        <v>No Prog ni Ejec</v>
      </c>
      <c r="CI49" s="631">
        <f t="shared" si="73"/>
        <v>1</v>
      </c>
      <c r="CJ49" s="631" t="str">
        <f t="shared" si="74"/>
        <v>No Prog ni Ejec</v>
      </c>
      <c r="CK49" s="631">
        <f t="shared" si="75"/>
        <v>1</v>
      </c>
      <c r="CL49" s="685" t="str">
        <f t="shared" si="76"/>
        <v>No Prog ni Ejec</v>
      </c>
      <c r="CM49" s="127">
        <f t="shared" si="6"/>
        <v>0</v>
      </c>
      <c r="CW49" s="121"/>
    </row>
    <row r="50" spans="1:106" s="69" customFormat="1" ht="229.5" x14ac:dyDescent="0.2">
      <c r="A50" s="798">
        <v>11700</v>
      </c>
      <c r="B50" s="795" t="s">
        <v>14</v>
      </c>
      <c r="C50" s="795" t="s">
        <v>337</v>
      </c>
      <c r="D50" s="795"/>
      <c r="E50" s="795"/>
      <c r="F50" s="795" t="s">
        <v>1017</v>
      </c>
      <c r="G50" s="795"/>
      <c r="H50" s="795"/>
      <c r="I50" s="795"/>
      <c r="J50" s="795"/>
      <c r="K50" s="795"/>
      <c r="L50" s="795"/>
      <c r="M50" s="795" t="s">
        <v>1017</v>
      </c>
      <c r="N50" s="795"/>
      <c r="O50" s="795"/>
      <c r="P50" s="795"/>
      <c r="Q50" s="795" t="s">
        <v>204</v>
      </c>
      <c r="R50" s="795" t="s">
        <v>204</v>
      </c>
      <c r="S50" s="799" t="s">
        <v>238</v>
      </c>
      <c r="T50" s="795" t="s">
        <v>94</v>
      </c>
      <c r="U50" s="795" t="s">
        <v>204</v>
      </c>
      <c r="V50" s="795" t="s">
        <v>204</v>
      </c>
      <c r="W50" s="799" t="s">
        <v>240</v>
      </c>
      <c r="X50" s="800" t="s">
        <v>602</v>
      </c>
      <c r="Y50" s="794" t="s">
        <v>51</v>
      </c>
      <c r="Z50" s="66">
        <v>811</v>
      </c>
      <c r="AA50" s="814" t="s">
        <v>239</v>
      </c>
      <c r="AB50" s="806" t="s">
        <v>601</v>
      </c>
      <c r="AC50" s="826">
        <v>185000000</v>
      </c>
      <c r="AD50" s="811">
        <v>1</v>
      </c>
      <c r="AE50" s="806" t="s">
        <v>18</v>
      </c>
      <c r="AF50" s="806" t="s">
        <v>305</v>
      </c>
      <c r="AG50" s="806" t="s">
        <v>204</v>
      </c>
      <c r="AH50" s="806" t="s">
        <v>633</v>
      </c>
      <c r="AI50" s="806" t="s">
        <v>1034</v>
      </c>
      <c r="AJ50" s="806" t="s">
        <v>1292</v>
      </c>
      <c r="AK50" s="806" t="s">
        <v>639</v>
      </c>
      <c r="AL50" s="806" t="s">
        <v>204</v>
      </c>
      <c r="AM50" s="66">
        <v>811</v>
      </c>
      <c r="AN50" s="806" t="str">
        <f t="shared" si="47"/>
        <v>Organizar, digitalizar y transferir el archivo documental de gestión correspondiente al periodo comprendido entre agosto de 2017 y agosto de 2018, ubicado en las instalaciones de la ADRES</v>
      </c>
      <c r="AO50" s="826">
        <f t="shared" si="48"/>
        <v>185000000</v>
      </c>
      <c r="AP50" s="836" t="s">
        <v>46</v>
      </c>
      <c r="AQ50" s="66">
        <v>100</v>
      </c>
      <c r="AR50" s="806" t="str">
        <f t="shared" si="49"/>
        <v>Organizar, digitalizar y transferir el archivo documental de gestión correspondiente al periodo comprendido entre agosto de 2017 y agosto de 2018, ubicado en las instalaciones de la ADRES</v>
      </c>
      <c r="AS50" s="810">
        <f>+AC50/8</f>
        <v>23125000</v>
      </c>
      <c r="AT50" s="814">
        <v>84</v>
      </c>
      <c r="AU50" s="814"/>
      <c r="AV50" s="807">
        <f t="shared" ref="AV50:AV56" si="77">+(AT50/AQ50)</f>
        <v>0.84</v>
      </c>
      <c r="AW50" s="807">
        <f t="shared" ref="AW50:AW56" si="78">+(AU50/AS50)</f>
        <v>0</v>
      </c>
      <c r="AX50" s="807">
        <f t="shared" ref="AX50:AX56" si="79">+(AT50/AM50)</f>
        <v>0.10357583230579531</v>
      </c>
      <c r="AY50" s="807">
        <f t="shared" ref="AY50:AY56" si="80">+(AU50/AO50)</f>
        <v>0</v>
      </c>
      <c r="AZ50" s="856" t="s">
        <v>1605</v>
      </c>
      <c r="BA50" s="66">
        <v>300</v>
      </c>
      <c r="BB50" s="806" t="str">
        <f t="shared" si="54"/>
        <v>Organizar, digitalizar y transferir el archivo documental de gestión correspondiente al periodo comprendido entre agosto de 2017 y agosto de 2018, ubicado en las instalaciones de la ADRES</v>
      </c>
      <c r="BC50" s="810">
        <f>(AC50/8)*3</f>
        <v>69375000</v>
      </c>
      <c r="BD50" s="817">
        <v>300</v>
      </c>
      <c r="BE50" s="810">
        <v>69375000</v>
      </c>
      <c r="BF50" s="807">
        <f t="shared" ref="BF50:BF56" si="81">+(BD50/BA50)</f>
        <v>1</v>
      </c>
      <c r="BG50" s="807">
        <f t="shared" ref="BG50:BG56" si="82">+(BE50/BC50)</f>
        <v>1</v>
      </c>
      <c r="BH50" s="807">
        <f t="shared" ref="BH50:BH56" si="83">+(BD50+AT50)/AM50</f>
        <v>0.47348951911220716</v>
      </c>
      <c r="BI50" s="807">
        <f t="shared" ref="BI50:BI56" si="84">+(BE50+AU50)/AO50</f>
        <v>0.375</v>
      </c>
      <c r="BJ50" s="730" t="s">
        <v>1733</v>
      </c>
      <c r="BK50" s="66">
        <v>300</v>
      </c>
      <c r="BL50" s="806" t="str">
        <f t="shared" si="59"/>
        <v>Organizar, digitalizar y transferir el archivo documental de gestión correspondiente al periodo comprendido entre agosto de 2017 y agosto de 2018, ubicado en las instalaciones de la ADRES</v>
      </c>
      <c r="BM50" s="810">
        <f>(AC50/8)*3</f>
        <v>69375000</v>
      </c>
      <c r="BN50" s="949">
        <v>300</v>
      </c>
      <c r="BO50" s="946">
        <v>69375000</v>
      </c>
      <c r="BP50" s="807">
        <f t="shared" ref="BP50:BP56" si="85">+(BN50/BK50)</f>
        <v>1</v>
      </c>
      <c r="BQ50" s="807">
        <f t="shared" ref="BQ50:BQ56" si="86">+(BO50/BM50)</f>
        <v>1</v>
      </c>
      <c r="BR50" s="807">
        <f t="shared" ref="BR50:BR56" si="87">+(BD50+AT50+BN50)/AM50</f>
        <v>0.84340320591861895</v>
      </c>
      <c r="BS50" s="807">
        <f t="shared" ref="BS50:BS56" si="88">+(BE50+AU50+BO50)/AO50</f>
        <v>0.75</v>
      </c>
      <c r="BT50" s="459" t="s">
        <v>1874</v>
      </c>
      <c r="BU50" s="66">
        <v>111</v>
      </c>
      <c r="BV50" s="806" t="str">
        <f t="shared" si="64"/>
        <v>Organizar, digitalizar y transferir el archivo documental de gestión correspondiente al periodo comprendido entre agosto de 2017 y agosto de 2018, ubicado en las instalaciones de la ADRES</v>
      </c>
      <c r="BW50" s="810">
        <f>+AC50/8</f>
        <v>23125000</v>
      </c>
      <c r="BX50" s="1132">
        <v>111</v>
      </c>
      <c r="BY50" s="1130">
        <v>23125000</v>
      </c>
      <c r="BZ50" s="805">
        <f t="shared" ref="BZ50:BZ56" si="89">+(BX50/BU50)</f>
        <v>1</v>
      </c>
      <c r="CA50" s="805">
        <f t="shared" ref="CA50:CA56" si="90">+(BY50/BW50)</f>
        <v>1</v>
      </c>
      <c r="CB50" s="805">
        <f t="shared" ref="CB50:CB56" si="91">+(BD50+AT50+BN50+BX50)/AM50</f>
        <v>0.98027127003699133</v>
      </c>
      <c r="CC50" s="805">
        <f t="shared" ref="CC50:CC56" si="92">+(BE50+AU50+BO50+BY50)/AO50</f>
        <v>0.875</v>
      </c>
      <c r="CD50" s="1129" t="s">
        <v>2044</v>
      </c>
      <c r="CE50" s="797">
        <f t="shared" ref="CE50:CE56" si="93">IF(AND(AQ50=0,AT50=0),"No Prog ni Ejec",IF(AQ50=0,CONCATENATE("No Prog, Ejec=  ",AT50),AT50/AQ50))</f>
        <v>0.84</v>
      </c>
      <c r="CF50" s="797">
        <f t="shared" ref="CF50:CF56" si="94">IF(AND(AS50=0,AU50=0),"No Prog ni Ejec",IF(AS50=0,CONCATENATE("No Prog, Ejec=  ",AU50),AU50/AS50))</f>
        <v>0</v>
      </c>
      <c r="CG50" s="797">
        <f t="shared" ref="CG50:CG56" si="95">IF(AND(BA50=0,BD50=0),"No Prog ni Ejec",IF(BA50=0,CONCATENATE("No Prog, Ejec=  ",BD50),BD50/BA50))</f>
        <v>1</v>
      </c>
      <c r="CH50" s="797">
        <f t="shared" ref="CH50:CH56" si="96">IF(AND(BC50=0,BE50=0),"No Prog ni Ejec",IF(BC50=0,CONCATENATE("No Prog, Ejec=  ",BE50),BE50/BC50))</f>
        <v>1</v>
      </c>
      <c r="CI50" s="797">
        <f t="shared" ref="CI50:CI56" si="97">IF(AND(BK50=0,BN50=0),"No Prog ni Ejec",IF(BK50=0,CONCATENATE("No Prog, Ejec=  ",BN50),BN50/BK50))</f>
        <v>1</v>
      </c>
      <c r="CJ50" s="797">
        <f t="shared" ref="CJ50:CJ56" si="98">IF(AND(BM50=0,BO50=0),"No Prog ni Ejec",IF(BM50=0,CONCATENATE("No Prog, Ejec=  ",BO50),BO50/BM50))</f>
        <v>1</v>
      </c>
      <c r="CK50" s="797">
        <f t="shared" ref="CK50:CK56" si="99">IF(AND(BU50=0,BX50=0),"No Prog ni Ejec",IF(BU50=0,CONCATENATE("No Prog, Ejec=  ",BX50),BX50/BU50))</f>
        <v>1</v>
      </c>
      <c r="CL50" s="796">
        <f t="shared" ref="CL50:CL56" si="100">IF(AND(BW50=0,BY50=0),"No Prog ni Ejec",IF(BW50=0,CONCATENATE("No Prog, Ejec=  ",BY50),BY50/BW50))</f>
        <v>1</v>
      </c>
      <c r="CM50" s="127">
        <f t="shared" si="6"/>
        <v>0</v>
      </c>
      <c r="DA50" s="69">
        <v>10</v>
      </c>
    </row>
    <row r="51" spans="1:106" s="69" customFormat="1" ht="89.25" x14ac:dyDescent="0.2">
      <c r="A51" s="684">
        <v>11700</v>
      </c>
      <c r="B51" s="627" t="s">
        <v>14</v>
      </c>
      <c r="C51" s="627" t="s">
        <v>337</v>
      </c>
      <c r="D51" s="627"/>
      <c r="E51" s="627"/>
      <c r="F51" s="627"/>
      <c r="G51" s="627"/>
      <c r="H51" s="627"/>
      <c r="I51" s="627"/>
      <c r="J51" s="627"/>
      <c r="K51" s="627"/>
      <c r="L51" s="627"/>
      <c r="M51" s="627" t="s">
        <v>1017</v>
      </c>
      <c r="N51" s="627"/>
      <c r="O51" s="627"/>
      <c r="P51" s="627"/>
      <c r="Q51" s="627" t="s">
        <v>204</v>
      </c>
      <c r="R51" s="627" t="s">
        <v>204</v>
      </c>
      <c r="S51" s="629" t="s">
        <v>238</v>
      </c>
      <c r="T51" s="627" t="s">
        <v>94</v>
      </c>
      <c r="U51" s="627" t="s">
        <v>204</v>
      </c>
      <c r="V51" s="627" t="s">
        <v>204</v>
      </c>
      <c r="W51" s="629" t="s">
        <v>725</v>
      </c>
      <c r="X51" s="645" t="s">
        <v>459</v>
      </c>
      <c r="Y51" s="641" t="s">
        <v>51</v>
      </c>
      <c r="Z51" s="805">
        <v>1</v>
      </c>
      <c r="AA51" s="814" t="s">
        <v>703</v>
      </c>
      <c r="AB51" s="806" t="s">
        <v>603</v>
      </c>
      <c r="AC51" s="826">
        <v>0</v>
      </c>
      <c r="AD51" s="811">
        <v>1</v>
      </c>
      <c r="AE51" s="806" t="s">
        <v>18</v>
      </c>
      <c r="AF51" s="806" t="s">
        <v>305</v>
      </c>
      <c r="AG51" s="806" t="s">
        <v>204</v>
      </c>
      <c r="AH51" s="806" t="s">
        <v>633</v>
      </c>
      <c r="AI51" s="806" t="s">
        <v>1034</v>
      </c>
      <c r="AJ51" s="806" t="s">
        <v>1292</v>
      </c>
      <c r="AK51" s="806" t="s">
        <v>460</v>
      </c>
      <c r="AL51" s="806" t="s">
        <v>307</v>
      </c>
      <c r="AM51" s="805">
        <v>1</v>
      </c>
      <c r="AN51" s="806" t="str">
        <f t="shared" si="47"/>
        <v>Actualizar las TRD y someterlas a aprobación del Comité Institucional de Gestión y Desempeño</v>
      </c>
      <c r="AO51" s="812">
        <f t="shared" si="48"/>
        <v>0</v>
      </c>
      <c r="AP51" s="836" t="s">
        <v>48</v>
      </c>
      <c r="AQ51" s="805">
        <v>0</v>
      </c>
      <c r="AR51" s="806" t="str">
        <f t="shared" si="49"/>
        <v>Actualizar las TRD y someterlas a aprobación del Comité Institucional de Gestión y Desempeño</v>
      </c>
      <c r="AS51" s="810">
        <v>0</v>
      </c>
      <c r="AT51" s="466">
        <v>0</v>
      </c>
      <c r="AU51" s="737">
        <v>0</v>
      </c>
      <c r="AV51" s="807" t="e">
        <f t="shared" si="77"/>
        <v>#DIV/0!</v>
      </c>
      <c r="AW51" s="807" t="e">
        <f t="shared" si="78"/>
        <v>#DIV/0!</v>
      </c>
      <c r="AX51" s="807">
        <f t="shared" si="79"/>
        <v>0</v>
      </c>
      <c r="AY51" s="807" t="e">
        <f t="shared" si="80"/>
        <v>#DIV/0!</v>
      </c>
      <c r="AZ51" s="486" t="s">
        <v>1330</v>
      </c>
      <c r="BA51" s="805">
        <v>0</v>
      </c>
      <c r="BB51" s="806" t="str">
        <f t="shared" si="54"/>
        <v>Actualizar las TRD y someterlas a aprobación del Comité Institucional de Gestión y Desempeño</v>
      </c>
      <c r="BC51" s="810">
        <v>0</v>
      </c>
      <c r="BD51" s="817">
        <v>0</v>
      </c>
      <c r="BE51" s="810">
        <v>0</v>
      </c>
      <c r="BF51" s="807" t="e">
        <f t="shared" si="81"/>
        <v>#DIV/0!</v>
      </c>
      <c r="BG51" s="807" t="e">
        <f t="shared" si="82"/>
        <v>#DIV/0!</v>
      </c>
      <c r="BH51" s="807">
        <f t="shared" si="83"/>
        <v>0</v>
      </c>
      <c r="BI51" s="807" t="e">
        <f t="shared" si="84"/>
        <v>#DIV/0!</v>
      </c>
      <c r="BJ51" s="809" t="s">
        <v>1619</v>
      </c>
      <c r="BK51" s="805">
        <v>1</v>
      </c>
      <c r="BL51" s="806" t="str">
        <f t="shared" si="59"/>
        <v>Actualizar las TRD y someterlas a aprobación del Comité Institucional de Gestión y Desempeño</v>
      </c>
      <c r="BM51" s="810">
        <v>0</v>
      </c>
      <c r="BN51" s="951">
        <f>(21/21)*100%</f>
        <v>1</v>
      </c>
      <c r="BO51" s="946">
        <v>0</v>
      </c>
      <c r="BP51" s="807">
        <f t="shared" si="85"/>
        <v>1</v>
      </c>
      <c r="BQ51" s="807" t="e">
        <f t="shared" si="86"/>
        <v>#DIV/0!</v>
      </c>
      <c r="BR51" s="807">
        <f t="shared" si="87"/>
        <v>1</v>
      </c>
      <c r="BS51" s="807" t="e">
        <f t="shared" si="88"/>
        <v>#DIV/0!</v>
      </c>
      <c r="BT51" s="459" t="s">
        <v>1875</v>
      </c>
      <c r="BU51" s="805">
        <v>0</v>
      </c>
      <c r="BV51" s="806" t="str">
        <f t="shared" si="64"/>
        <v>Actualizar las TRD y someterlas a aprobación del Comité Institucional de Gestión y Desempeño</v>
      </c>
      <c r="BW51" s="810">
        <v>0</v>
      </c>
      <c r="BX51" s="1132">
        <v>0</v>
      </c>
      <c r="BY51" s="1130">
        <v>0</v>
      </c>
      <c r="BZ51" s="805" t="e">
        <f t="shared" si="89"/>
        <v>#DIV/0!</v>
      </c>
      <c r="CA51" s="805" t="e">
        <f t="shared" si="90"/>
        <v>#DIV/0!</v>
      </c>
      <c r="CB51" s="805">
        <f t="shared" si="91"/>
        <v>1</v>
      </c>
      <c r="CC51" s="805" t="e">
        <f t="shared" si="92"/>
        <v>#DIV/0!</v>
      </c>
      <c r="CD51" s="682"/>
      <c r="CE51" s="631" t="str">
        <f t="shared" si="93"/>
        <v>No Prog ni Ejec</v>
      </c>
      <c r="CF51" s="631" t="str">
        <f t="shared" si="94"/>
        <v>No Prog ni Ejec</v>
      </c>
      <c r="CG51" s="631" t="str">
        <f t="shared" si="95"/>
        <v>No Prog ni Ejec</v>
      </c>
      <c r="CH51" s="631" t="str">
        <f t="shared" si="96"/>
        <v>No Prog ni Ejec</v>
      </c>
      <c r="CI51" s="631">
        <f t="shared" si="97"/>
        <v>1</v>
      </c>
      <c r="CJ51" s="631" t="str">
        <f t="shared" si="98"/>
        <v>No Prog ni Ejec</v>
      </c>
      <c r="CK51" s="631" t="str">
        <f t="shared" si="99"/>
        <v>No Prog ni Ejec</v>
      </c>
      <c r="CL51" s="685" t="str">
        <f t="shared" si="100"/>
        <v>No Prog ni Ejec</v>
      </c>
      <c r="CM51" s="127">
        <f t="shared" si="6"/>
        <v>0</v>
      </c>
      <c r="DA51" s="69">
        <v>10</v>
      </c>
    </row>
    <row r="52" spans="1:106" s="69" customFormat="1" ht="140.25" x14ac:dyDescent="0.2">
      <c r="A52" s="684">
        <v>11700</v>
      </c>
      <c r="B52" s="627" t="s">
        <v>14</v>
      </c>
      <c r="C52" s="627" t="s">
        <v>337</v>
      </c>
      <c r="D52" s="627"/>
      <c r="E52" s="627"/>
      <c r="F52" s="627"/>
      <c r="G52" s="627"/>
      <c r="H52" s="627"/>
      <c r="I52" s="627"/>
      <c r="J52" s="627"/>
      <c r="K52" s="627"/>
      <c r="L52" s="627"/>
      <c r="M52" s="627" t="s">
        <v>1017</v>
      </c>
      <c r="N52" s="627"/>
      <c r="O52" s="627"/>
      <c r="P52" s="627"/>
      <c r="Q52" s="627" t="s">
        <v>204</v>
      </c>
      <c r="R52" s="627" t="s">
        <v>204</v>
      </c>
      <c r="S52" s="629" t="s">
        <v>238</v>
      </c>
      <c r="T52" s="627" t="s">
        <v>94</v>
      </c>
      <c r="U52" s="627" t="s">
        <v>204</v>
      </c>
      <c r="V52" s="627" t="s">
        <v>204</v>
      </c>
      <c r="W52" s="629" t="s">
        <v>726</v>
      </c>
      <c r="X52" s="627" t="s">
        <v>605</v>
      </c>
      <c r="Y52" s="641" t="s">
        <v>390</v>
      </c>
      <c r="Z52" s="66">
        <v>1</v>
      </c>
      <c r="AA52" s="814" t="s">
        <v>704</v>
      </c>
      <c r="AB52" s="806" t="s">
        <v>604</v>
      </c>
      <c r="AC52" s="826">
        <v>0</v>
      </c>
      <c r="AD52" s="811">
        <v>1</v>
      </c>
      <c r="AE52" s="806" t="s">
        <v>18</v>
      </c>
      <c r="AF52" s="806" t="s">
        <v>305</v>
      </c>
      <c r="AG52" s="806" t="s">
        <v>204</v>
      </c>
      <c r="AH52" s="806" t="s">
        <v>633</v>
      </c>
      <c r="AI52" s="806" t="s">
        <v>1034</v>
      </c>
      <c r="AJ52" s="806" t="s">
        <v>204</v>
      </c>
      <c r="AK52" s="806" t="s">
        <v>640</v>
      </c>
      <c r="AL52" s="806" t="s">
        <v>204</v>
      </c>
      <c r="AM52" s="66">
        <v>1</v>
      </c>
      <c r="AN52" s="806" t="str">
        <f t="shared" si="47"/>
        <v>Realizar los estudios técnicos, de mercado y económicos para la valoración documental</v>
      </c>
      <c r="AO52" s="812">
        <f t="shared" si="48"/>
        <v>0</v>
      </c>
      <c r="AP52" s="836" t="s">
        <v>48</v>
      </c>
      <c r="AQ52" s="66">
        <v>0</v>
      </c>
      <c r="AR52" s="806" t="str">
        <f t="shared" si="49"/>
        <v>Realizar los estudios técnicos, de mercado y económicos para la valoración documental</v>
      </c>
      <c r="AS52" s="810">
        <v>0</v>
      </c>
      <c r="AT52" s="466">
        <v>0</v>
      </c>
      <c r="AU52" s="491">
        <v>0</v>
      </c>
      <c r="AV52" s="807" t="e">
        <f t="shared" si="77"/>
        <v>#DIV/0!</v>
      </c>
      <c r="AW52" s="807" t="e">
        <f t="shared" si="78"/>
        <v>#DIV/0!</v>
      </c>
      <c r="AX52" s="807">
        <f t="shared" si="79"/>
        <v>0</v>
      </c>
      <c r="AY52" s="807" t="e">
        <f t="shared" si="80"/>
        <v>#DIV/0!</v>
      </c>
      <c r="AZ52" s="486" t="s">
        <v>1330</v>
      </c>
      <c r="BA52" s="66">
        <v>0</v>
      </c>
      <c r="BB52" s="806" t="str">
        <f t="shared" si="54"/>
        <v>Realizar los estudios técnicos, de mercado y económicos para la valoración documental</v>
      </c>
      <c r="BC52" s="810">
        <v>0</v>
      </c>
      <c r="BD52" s="817">
        <v>0</v>
      </c>
      <c r="BE52" s="810">
        <v>0</v>
      </c>
      <c r="BF52" s="807" t="e">
        <f t="shared" si="81"/>
        <v>#DIV/0!</v>
      </c>
      <c r="BG52" s="807" t="e">
        <f t="shared" si="82"/>
        <v>#DIV/0!</v>
      </c>
      <c r="BH52" s="807">
        <f t="shared" si="83"/>
        <v>0</v>
      </c>
      <c r="BI52" s="807" t="e">
        <f t="shared" si="84"/>
        <v>#DIV/0!</v>
      </c>
      <c r="BJ52" s="809" t="s">
        <v>1619</v>
      </c>
      <c r="BK52" s="66">
        <v>1</v>
      </c>
      <c r="BL52" s="806" t="str">
        <f>+AN52</f>
        <v>Realizar los estudios técnicos, de mercado y económicos para la valoración documental</v>
      </c>
      <c r="BM52" s="810">
        <v>0</v>
      </c>
      <c r="BN52" s="949">
        <v>1</v>
      </c>
      <c r="BO52" s="946">
        <v>0</v>
      </c>
      <c r="BP52" s="807">
        <f t="shared" si="85"/>
        <v>1</v>
      </c>
      <c r="BQ52" s="807" t="e">
        <f t="shared" si="86"/>
        <v>#DIV/0!</v>
      </c>
      <c r="BR52" s="807">
        <f t="shared" si="87"/>
        <v>1</v>
      </c>
      <c r="BS52" s="807" t="e">
        <f t="shared" si="88"/>
        <v>#DIV/0!</v>
      </c>
      <c r="BT52" s="459" t="s">
        <v>1876</v>
      </c>
      <c r="BU52" s="66">
        <v>0</v>
      </c>
      <c r="BV52" s="806" t="str">
        <f t="shared" si="64"/>
        <v>Realizar los estudios técnicos, de mercado y económicos para la valoración documental</v>
      </c>
      <c r="BW52" s="810">
        <v>0</v>
      </c>
      <c r="BX52" s="1132">
        <v>0</v>
      </c>
      <c r="BY52" s="1130">
        <v>0</v>
      </c>
      <c r="BZ52" s="805" t="e">
        <f t="shared" si="89"/>
        <v>#DIV/0!</v>
      </c>
      <c r="CA52" s="805" t="e">
        <f t="shared" si="90"/>
        <v>#DIV/0!</v>
      </c>
      <c r="CB52" s="805">
        <f t="shared" si="91"/>
        <v>1</v>
      </c>
      <c r="CC52" s="805" t="e">
        <f t="shared" si="92"/>
        <v>#DIV/0!</v>
      </c>
      <c r="CD52" s="682"/>
      <c r="CE52" s="631" t="str">
        <f t="shared" si="93"/>
        <v>No Prog ni Ejec</v>
      </c>
      <c r="CF52" s="631" t="str">
        <f t="shared" si="94"/>
        <v>No Prog ni Ejec</v>
      </c>
      <c r="CG52" s="631" t="str">
        <f t="shared" si="95"/>
        <v>No Prog ni Ejec</v>
      </c>
      <c r="CH52" s="631" t="str">
        <f t="shared" si="96"/>
        <v>No Prog ni Ejec</v>
      </c>
      <c r="CI52" s="631">
        <f t="shared" si="97"/>
        <v>1</v>
      </c>
      <c r="CJ52" s="631" t="str">
        <f t="shared" si="98"/>
        <v>No Prog ni Ejec</v>
      </c>
      <c r="CK52" s="631" t="str">
        <f t="shared" si="99"/>
        <v>No Prog ni Ejec</v>
      </c>
      <c r="CL52" s="685" t="str">
        <f t="shared" si="100"/>
        <v>No Prog ni Ejec</v>
      </c>
      <c r="CM52" s="127">
        <f t="shared" si="6"/>
        <v>0</v>
      </c>
      <c r="DA52" s="69">
        <v>10</v>
      </c>
    </row>
    <row r="53" spans="1:106" s="69" customFormat="1" ht="89.25" x14ac:dyDescent="0.2">
      <c r="A53" s="684">
        <v>11700</v>
      </c>
      <c r="B53" s="627" t="s">
        <v>14</v>
      </c>
      <c r="C53" s="627" t="s">
        <v>337</v>
      </c>
      <c r="D53" s="627"/>
      <c r="E53" s="627"/>
      <c r="F53" s="627"/>
      <c r="G53" s="627"/>
      <c r="H53" s="627"/>
      <c r="I53" s="627"/>
      <c r="J53" s="627"/>
      <c r="K53" s="627"/>
      <c r="L53" s="627"/>
      <c r="M53" s="627" t="s">
        <v>1017</v>
      </c>
      <c r="N53" s="627"/>
      <c r="O53" s="627"/>
      <c r="P53" s="627"/>
      <c r="Q53" s="627" t="s">
        <v>204</v>
      </c>
      <c r="R53" s="627" t="s">
        <v>204</v>
      </c>
      <c r="S53" s="629" t="s">
        <v>238</v>
      </c>
      <c r="T53" s="627" t="s">
        <v>94</v>
      </c>
      <c r="U53" s="627" t="s">
        <v>204</v>
      </c>
      <c r="V53" s="627" t="s">
        <v>204</v>
      </c>
      <c r="W53" s="629" t="s">
        <v>727</v>
      </c>
      <c r="X53" s="627" t="s">
        <v>1606</v>
      </c>
      <c r="Y53" s="641" t="s">
        <v>390</v>
      </c>
      <c r="Z53" s="67">
        <v>1</v>
      </c>
      <c r="AA53" s="814" t="s">
        <v>705</v>
      </c>
      <c r="AB53" s="806" t="s">
        <v>606</v>
      </c>
      <c r="AC53" s="826">
        <v>0</v>
      </c>
      <c r="AD53" s="811">
        <v>1</v>
      </c>
      <c r="AE53" s="806" t="s">
        <v>17</v>
      </c>
      <c r="AF53" s="806" t="s">
        <v>26</v>
      </c>
      <c r="AG53" s="806" t="s">
        <v>629</v>
      </c>
      <c r="AH53" s="806" t="s">
        <v>633</v>
      </c>
      <c r="AI53" s="806" t="s">
        <v>1034</v>
      </c>
      <c r="AJ53" s="806" t="s">
        <v>204</v>
      </c>
      <c r="AK53" s="806" t="s">
        <v>1607</v>
      </c>
      <c r="AL53" s="806" t="s">
        <v>204</v>
      </c>
      <c r="AM53" s="66">
        <v>1</v>
      </c>
      <c r="AN53" s="806" t="str">
        <f t="shared" ref="AN53:AN73" si="101">+AB53</f>
        <v>Definir la política de cero papel y someterla a aprobación del Comité Institucional de Gestión y Desempeño</v>
      </c>
      <c r="AO53" s="812">
        <f>+AC53</f>
        <v>0</v>
      </c>
      <c r="AP53" s="836" t="s">
        <v>48</v>
      </c>
      <c r="AQ53" s="66">
        <v>0</v>
      </c>
      <c r="AR53" s="806" t="str">
        <f>+AN53</f>
        <v>Definir la política de cero papel y someterla a aprobación del Comité Institucional de Gestión y Desempeño</v>
      </c>
      <c r="AS53" s="810">
        <v>0</v>
      </c>
      <c r="AT53" s="466">
        <v>0</v>
      </c>
      <c r="AU53" s="491">
        <v>0</v>
      </c>
      <c r="AV53" s="807" t="e">
        <f t="shared" si="77"/>
        <v>#DIV/0!</v>
      </c>
      <c r="AW53" s="807" t="e">
        <f t="shared" si="78"/>
        <v>#DIV/0!</v>
      </c>
      <c r="AX53" s="807">
        <f t="shared" si="79"/>
        <v>0</v>
      </c>
      <c r="AY53" s="807" t="e">
        <f t="shared" si="80"/>
        <v>#DIV/0!</v>
      </c>
      <c r="AZ53" s="486" t="s">
        <v>1330</v>
      </c>
      <c r="BA53" s="66">
        <v>1</v>
      </c>
      <c r="BB53" s="806" t="str">
        <f>+AN53</f>
        <v>Definir la política de cero papel y someterla a aprobación del Comité Institucional de Gestión y Desempeño</v>
      </c>
      <c r="BC53" s="810">
        <v>0</v>
      </c>
      <c r="BD53" s="616">
        <v>1</v>
      </c>
      <c r="BE53" s="810">
        <v>0</v>
      </c>
      <c r="BF53" s="807">
        <f t="shared" si="81"/>
        <v>1</v>
      </c>
      <c r="BG53" s="807" t="e">
        <f t="shared" si="82"/>
        <v>#DIV/0!</v>
      </c>
      <c r="BH53" s="807">
        <f t="shared" si="83"/>
        <v>1</v>
      </c>
      <c r="BI53" s="807" t="e">
        <f t="shared" si="84"/>
        <v>#DIV/0!</v>
      </c>
      <c r="BJ53" s="809" t="s">
        <v>1620</v>
      </c>
      <c r="BK53" s="66">
        <v>0</v>
      </c>
      <c r="BL53" s="806" t="str">
        <f>+AN53</f>
        <v>Definir la política de cero papel y someterla a aprobación del Comité Institucional de Gestión y Desempeño</v>
      </c>
      <c r="BM53" s="810">
        <v>0</v>
      </c>
      <c r="BN53" s="949">
        <v>0</v>
      </c>
      <c r="BO53" s="946">
        <v>0</v>
      </c>
      <c r="BP53" s="807" t="e">
        <f t="shared" si="85"/>
        <v>#DIV/0!</v>
      </c>
      <c r="BQ53" s="807" t="e">
        <f t="shared" si="86"/>
        <v>#DIV/0!</v>
      </c>
      <c r="BR53" s="807">
        <f t="shared" si="87"/>
        <v>1</v>
      </c>
      <c r="BS53" s="807" t="e">
        <f t="shared" si="88"/>
        <v>#DIV/0!</v>
      </c>
      <c r="BT53" s="945" t="s">
        <v>1877</v>
      </c>
      <c r="BU53" s="66">
        <v>0</v>
      </c>
      <c r="BV53" s="806" t="str">
        <f>+AN53</f>
        <v>Definir la política de cero papel y someterla a aprobación del Comité Institucional de Gestión y Desempeño</v>
      </c>
      <c r="BW53" s="810">
        <v>0</v>
      </c>
      <c r="BX53" s="1132">
        <v>0</v>
      </c>
      <c r="BY53" s="1130">
        <v>0</v>
      </c>
      <c r="BZ53" s="805" t="e">
        <f t="shared" si="89"/>
        <v>#DIV/0!</v>
      </c>
      <c r="CA53" s="805" t="e">
        <f t="shared" si="90"/>
        <v>#DIV/0!</v>
      </c>
      <c r="CB53" s="805">
        <f t="shared" si="91"/>
        <v>1</v>
      </c>
      <c r="CC53" s="805" t="e">
        <f t="shared" si="92"/>
        <v>#DIV/0!</v>
      </c>
      <c r="CD53" s="682"/>
      <c r="CE53" s="631" t="str">
        <f t="shared" si="93"/>
        <v>No Prog ni Ejec</v>
      </c>
      <c r="CF53" s="631" t="str">
        <f t="shared" si="94"/>
        <v>No Prog ni Ejec</v>
      </c>
      <c r="CG53" s="631">
        <f t="shared" si="95"/>
        <v>1</v>
      </c>
      <c r="CH53" s="631" t="str">
        <f t="shared" si="96"/>
        <v>No Prog ni Ejec</v>
      </c>
      <c r="CI53" s="631" t="str">
        <f t="shared" si="97"/>
        <v>No Prog ni Ejec</v>
      </c>
      <c r="CJ53" s="631" t="str">
        <f t="shared" si="98"/>
        <v>No Prog ni Ejec</v>
      </c>
      <c r="CK53" s="631" t="str">
        <f t="shared" si="99"/>
        <v>No Prog ni Ejec</v>
      </c>
      <c r="CL53" s="685" t="str">
        <f t="shared" si="100"/>
        <v>No Prog ni Ejec</v>
      </c>
      <c r="CM53" s="127">
        <f t="shared" si="6"/>
        <v>0</v>
      </c>
      <c r="CW53" s="121">
        <v>6</v>
      </c>
    </row>
    <row r="54" spans="1:106" s="69" customFormat="1" ht="140.25" x14ac:dyDescent="0.2">
      <c r="A54" s="684">
        <v>11700</v>
      </c>
      <c r="B54" s="627" t="s">
        <v>14</v>
      </c>
      <c r="C54" s="627" t="s">
        <v>330</v>
      </c>
      <c r="D54" s="627"/>
      <c r="E54" s="627" t="s">
        <v>1017</v>
      </c>
      <c r="F54" s="627"/>
      <c r="G54" s="627"/>
      <c r="H54" s="627"/>
      <c r="I54" s="627"/>
      <c r="J54" s="627"/>
      <c r="K54" s="627"/>
      <c r="L54" s="627"/>
      <c r="M54" s="627"/>
      <c r="N54" s="627"/>
      <c r="O54" s="627"/>
      <c r="P54" s="627"/>
      <c r="Q54" s="627" t="s">
        <v>204</v>
      </c>
      <c r="R54" s="627" t="s">
        <v>204</v>
      </c>
      <c r="S54" s="629" t="s">
        <v>238</v>
      </c>
      <c r="T54" s="627" t="s">
        <v>94</v>
      </c>
      <c r="U54" s="627" t="s">
        <v>204</v>
      </c>
      <c r="V54" s="627" t="s">
        <v>204</v>
      </c>
      <c r="W54" s="629" t="s">
        <v>728</v>
      </c>
      <c r="X54" s="627" t="s">
        <v>1608</v>
      </c>
      <c r="Y54" s="641" t="s">
        <v>390</v>
      </c>
      <c r="Z54" s="67">
        <v>1</v>
      </c>
      <c r="AA54" s="814" t="s">
        <v>706</v>
      </c>
      <c r="AB54" s="806" t="s">
        <v>607</v>
      </c>
      <c r="AC54" s="826">
        <v>0</v>
      </c>
      <c r="AD54" s="811">
        <v>1</v>
      </c>
      <c r="AE54" s="806" t="s">
        <v>17</v>
      </c>
      <c r="AF54" s="806" t="s">
        <v>26</v>
      </c>
      <c r="AG54" s="806" t="s">
        <v>629</v>
      </c>
      <c r="AH54" s="806" t="s">
        <v>633</v>
      </c>
      <c r="AI54" s="806" t="s">
        <v>1034</v>
      </c>
      <c r="AJ54" s="806" t="s">
        <v>204</v>
      </c>
      <c r="AK54" s="806" t="s">
        <v>1609</v>
      </c>
      <c r="AL54" s="806" t="s">
        <v>204</v>
      </c>
      <c r="AM54" s="66">
        <v>1</v>
      </c>
      <c r="AN54" s="806" t="str">
        <f t="shared" si="101"/>
        <v>Definir la política y los indicadores de gestión ambiental y someterlos a aprobación del Comité Institucional de Desarrollo Administrativo</v>
      </c>
      <c r="AO54" s="812">
        <f>+AC54</f>
        <v>0</v>
      </c>
      <c r="AP54" s="836" t="s">
        <v>46</v>
      </c>
      <c r="AQ54" s="66">
        <v>0</v>
      </c>
      <c r="AR54" s="806" t="str">
        <f>+AN54</f>
        <v>Definir la política y los indicadores de gestión ambiental y someterlos a aprobación del Comité Institucional de Desarrollo Administrativo</v>
      </c>
      <c r="AS54" s="810">
        <v>0</v>
      </c>
      <c r="AT54" s="466">
        <v>0</v>
      </c>
      <c r="AU54" s="491">
        <v>0</v>
      </c>
      <c r="AV54" s="807" t="e">
        <f t="shared" si="77"/>
        <v>#DIV/0!</v>
      </c>
      <c r="AW54" s="807" t="e">
        <f t="shared" si="78"/>
        <v>#DIV/0!</v>
      </c>
      <c r="AX54" s="807">
        <f t="shared" si="79"/>
        <v>0</v>
      </c>
      <c r="AY54" s="807" t="e">
        <f t="shared" si="80"/>
        <v>#DIV/0!</v>
      </c>
      <c r="AZ54" s="486" t="s">
        <v>1330</v>
      </c>
      <c r="BA54" s="66">
        <v>0</v>
      </c>
      <c r="BB54" s="806" t="str">
        <f>+AN54</f>
        <v>Definir la política y los indicadores de gestión ambiental y someterlos a aprobación del Comité Institucional de Desarrollo Administrativo</v>
      </c>
      <c r="BC54" s="810">
        <v>0</v>
      </c>
      <c r="BD54" s="817">
        <v>0</v>
      </c>
      <c r="BE54" s="810">
        <v>0</v>
      </c>
      <c r="BF54" s="807" t="e">
        <f t="shared" si="81"/>
        <v>#DIV/0!</v>
      </c>
      <c r="BG54" s="807" t="e">
        <f t="shared" si="82"/>
        <v>#DIV/0!</v>
      </c>
      <c r="BH54" s="807">
        <f t="shared" si="83"/>
        <v>0</v>
      </c>
      <c r="BI54" s="807" t="e">
        <f t="shared" si="84"/>
        <v>#DIV/0!</v>
      </c>
      <c r="BJ54" s="809" t="s">
        <v>1619</v>
      </c>
      <c r="BK54" s="66">
        <v>1</v>
      </c>
      <c r="BL54" s="806" t="str">
        <f>+AN54</f>
        <v>Definir la política y los indicadores de gestión ambiental y someterlos a aprobación del Comité Institucional de Desarrollo Administrativo</v>
      </c>
      <c r="BM54" s="810">
        <v>0</v>
      </c>
      <c r="BN54" s="949">
        <v>1</v>
      </c>
      <c r="BO54" s="946">
        <v>0</v>
      </c>
      <c r="BP54" s="807">
        <f t="shared" si="85"/>
        <v>1</v>
      </c>
      <c r="BQ54" s="807" t="e">
        <f t="shared" si="86"/>
        <v>#DIV/0!</v>
      </c>
      <c r="BR54" s="807">
        <f t="shared" si="87"/>
        <v>1</v>
      </c>
      <c r="BS54" s="807" t="e">
        <f t="shared" si="88"/>
        <v>#DIV/0!</v>
      </c>
      <c r="BT54" s="459" t="s">
        <v>1878</v>
      </c>
      <c r="BU54" s="66">
        <v>0</v>
      </c>
      <c r="BV54" s="806" t="str">
        <f>+AN54</f>
        <v>Definir la política y los indicadores de gestión ambiental y someterlos a aprobación del Comité Institucional de Desarrollo Administrativo</v>
      </c>
      <c r="BW54" s="810">
        <v>0</v>
      </c>
      <c r="BX54" s="1132">
        <v>0</v>
      </c>
      <c r="BY54" s="1130">
        <v>0</v>
      </c>
      <c r="BZ54" s="805" t="e">
        <f t="shared" si="89"/>
        <v>#DIV/0!</v>
      </c>
      <c r="CA54" s="805" t="e">
        <f t="shared" si="90"/>
        <v>#DIV/0!</v>
      </c>
      <c r="CB54" s="805">
        <f t="shared" si="91"/>
        <v>1</v>
      </c>
      <c r="CC54" s="805" t="e">
        <f t="shared" si="92"/>
        <v>#DIV/0!</v>
      </c>
      <c r="CD54" s="682"/>
      <c r="CE54" s="631" t="str">
        <f t="shared" si="93"/>
        <v>No Prog ni Ejec</v>
      </c>
      <c r="CF54" s="631" t="str">
        <f t="shared" si="94"/>
        <v>No Prog ni Ejec</v>
      </c>
      <c r="CG54" s="631" t="str">
        <f t="shared" si="95"/>
        <v>No Prog ni Ejec</v>
      </c>
      <c r="CH54" s="631" t="str">
        <f t="shared" si="96"/>
        <v>No Prog ni Ejec</v>
      </c>
      <c r="CI54" s="631">
        <f t="shared" si="97"/>
        <v>1</v>
      </c>
      <c r="CJ54" s="631" t="str">
        <f t="shared" si="98"/>
        <v>No Prog ni Ejec</v>
      </c>
      <c r="CK54" s="631" t="str">
        <f t="shared" si="99"/>
        <v>No Prog ni Ejec</v>
      </c>
      <c r="CL54" s="685" t="str">
        <f t="shared" si="100"/>
        <v>No Prog ni Ejec</v>
      </c>
      <c r="CM54" s="127">
        <f t="shared" si="6"/>
        <v>0</v>
      </c>
      <c r="CW54" s="121">
        <v>6</v>
      </c>
    </row>
    <row r="55" spans="1:106" s="69" customFormat="1" ht="127.5" x14ac:dyDescent="0.2">
      <c r="A55" s="684">
        <v>11700</v>
      </c>
      <c r="B55" s="627" t="s">
        <v>14</v>
      </c>
      <c r="C55" s="627" t="s">
        <v>330</v>
      </c>
      <c r="D55" s="627"/>
      <c r="E55" s="627" t="s">
        <v>1017</v>
      </c>
      <c r="F55" s="627"/>
      <c r="G55" s="627"/>
      <c r="H55" s="627"/>
      <c r="I55" s="627"/>
      <c r="J55" s="627"/>
      <c r="K55" s="627"/>
      <c r="L55" s="627"/>
      <c r="M55" s="627"/>
      <c r="N55" s="627"/>
      <c r="O55" s="627"/>
      <c r="P55" s="627"/>
      <c r="Q55" s="627" t="s">
        <v>204</v>
      </c>
      <c r="R55" s="627" t="s">
        <v>204</v>
      </c>
      <c r="S55" s="629" t="s">
        <v>238</v>
      </c>
      <c r="T55" s="627" t="s">
        <v>94</v>
      </c>
      <c r="U55" s="627" t="s">
        <v>204</v>
      </c>
      <c r="V55" s="627" t="s">
        <v>204</v>
      </c>
      <c r="W55" s="629" t="s">
        <v>729</v>
      </c>
      <c r="X55" s="627" t="s">
        <v>701</v>
      </c>
      <c r="Y55" s="641" t="s">
        <v>390</v>
      </c>
      <c r="Z55" s="67">
        <v>1</v>
      </c>
      <c r="AA55" s="814" t="s">
        <v>707</v>
      </c>
      <c r="AB55" s="806" t="s">
        <v>608</v>
      </c>
      <c r="AC55" s="826">
        <v>0</v>
      </c>
      <c r="AD55" s="811">
        <v>1</v>
      </c>
      <c r="AE55" s="806" t="s">
        <v>17</v>
      </c>
      <c r="AF55" s="806" t="s">
        <v>295</v>
      </c>
      <c r="AG55" s="806" t="s">
        <v>629</v>
      </c>
      <c r="AH55" s="806" t="s">
        <v>633</v>
      </c>
      <c r="AI55" s="806" t="s">
        <v>1034</v>
      </c>
      <c r="AJ55" s="806" t="s">
        <v>633</v>
      </c>
      <c r="AK55" s="806" t="s">
        <v>702</v>
      </c>
      <c r="AL55" s="806" t="s">
        <v>204</v>
      </c>
      <c r="AM55" s="66">
        <v>1</v>
      </c>
      <c r="AN55" s="806" t="str">
        <f t="shared" si="101"/>
        <v>Revisar los formatos de los procesos a cargo de la Dirección Administrativa y Financiera para determinar su conveniencia</v>
      </c>
      <c r="AO55" s="812">
        <f>+AC55</f>
        <v>0</v>
      </c>
      <c r="AP55" s="836" t="s">
        <v>46</v>
      </c>
      <c r="AQ55" s="66">
        <v>1</v>
      </c>
      <c r="AR55" s="806" t="str">
        <f>+AN55</f>
        <v>Revisar los formatos de los procesos a cargo de la Dirección Administrativa y Financiera para determinar su conveniencia</v>
      </c>
      <c r="AS55" s="810">
        <v>0</v>
      </c>
      <c r="AT55" s="466">
        <v>1</v>
      </c>
      <c r="AU55" s="491">
        <v>0</v>
      </c>
      <c r="AV55" s="807">
        <f t="shared" si="77"/>
        <v>1</v>
      </c>
      <c r="AW55" s="807" t="e">
        <f t="shared" si="78"/>
        <v>#DIV/0!</v>
      </c>
      <c r="AX55" s="807">
        <f t="shared" si="79"/>
        <v>1</v>
      </c>
      <c r="AY55" s="807" t="e">
        <f t="shared" si="80"/>
        <v>#DIV/0!</v>
      </c>
      <c r="AZ55" s="486" t="s">
        <v>1610</v>
      </c>
      <c r="BA55" s="66">
        <v>0</v>
      </c>
      <c r="BB55" s="806" t="str">
        <f>+AN55</f>
        <v>Revisar los formatos de los procesos a cargo de la Dirección Administrativa y Financiera para determinar su conveniencia</v>
      </c>
      <c r="BC55" s="810">
        <v>0</v>
      </c>
      <c r="BD55" s="817">
        <v>0</v>
      </c>
      <c r="BE55" s="810">
        <v>0</v>
      </c>
      <c r="BF55" s="807" t="e">
        <f t="shared" si="81"/>
        <v>#DIV/0!</v>
      </c>
      <c r="BG55" s="807" t="e">
        <f t="shared" si="82"/>
        <v>#DIV/0!</v>
      </c>
      <c r="BH55" s="807">
        <f t="shared" si="83"/>
        <v>1</v>
      </c>
      <c r="BI55" s="807" t="e">
        <f t="shared" si="84"/>
        <v>#DIV/0!</v>
      </c>
      <c r="BJ55" s="809" t="s">
        <v>1619</v>
      </c>
      <c r="BK55" s="66">
        <v>0</v>
      </c>
      <c r="BL55" s="806" t="str">
        <f>+AN55</f>
        <v>Revisar los formatos de los procesos a cargo de la Dirección Administrativa y Financiera para determinar su conveniencia</v>
      </c>
      <c r="BM55" s="810">
        <v>0</v>
      </c>
      <c r="BN55" s="949">
        <v>0</v>
      </c>
      <c r="BO55" s="946">
        <v>0</v>
      </c>
      <c r="BP55" s="807" t="e">
        <f t="shared" si="85"/>
        <v>#DIV/0!</v>
      </c>
      <c r="BQ55" s="807" t="e">
        <f t="shared" si="86"/>
        <v>#DIV/0!</v>
      </c>
      <c r="BR55" s="807">
        <f t="shared" si="87"/>
        <v>1</v>
      </c>
      <c r="BS55" s="807" t="e">
        <f t="shared" si="88"/>
        <v>#DIV/0!</v>
      </c>
      <c r="BT55" s="945" t="s">
        <v>1877</v>
      </c>
      <c r="BU55" s="66">
        <v>0</v>
      </c>
      <c r="BV55" s="806" t="str">
        <f>+AN55</f>
        <v>Revisar los formatos de los procesos a cargo de la Dirección Administrativa y Financiera para determinar su conveniencia</v>
      </c>
      <c r="BW55" s="810">
        <v>0</v>
      </c>
      <c r="BX55" s="1132">
        <v>0</v>
      </c>
      <c r="BY55" s="1130">
        <v>0</v>
      </c>
      <c r="BZ55" s="805" t="e">
        <f t="shared" si="89"/>
        <v>#DIV/0!</v>
      </c>
      <c r="CA55" s="805" t="e">
        <f t="shared" si="90"/>
        <v>#DIV/0!</v>
      </c>
      <c r="CB55" s="805">
        <f t="shared" si="91"/>
        <v>1</v>
      </c>
      <c r="CC55" s="805" t="e">
        <f t="shared" si="92"/>
        <v>#DIV/0!</v>
      </c>
      <c r="CD55" s="682"/>
      <c r="CE55" s="631">
        <f t="shared" si="93"/>
        <v>1</v>
      </c>
      <c r="CF55" s="631" t="str">
        <f t="shared" si="94"/>
        <v>No Prog ni Ejec</v>
      </c>
      <c r="CG55" s="631" t="str">
        <f t="shared" si="95"/>
        <v>No Prog ni Ejec</v>
      </c>
      <c r="CH55" s="631" t="str">
        <f t="shared" si="96"/>
        <v>No Prog ni Ejec</v>
      </c>
      <c r="CI55" s="631" t="str">
        <f t="shared" si="97"/>
        <v>No Prog ni Ejec</v>
      </c>
      <c r="CJ55" s="631" t="str">
        <f t="shared" si="98"/>
        <v>No Prog ni Ejec</v>
      </c>
      <c r="CK55" s="631" t="str">
        <f t="shared" si="99"/>
        <v>No Prog ni Ejec</v>
      </c>
      <c r="CL55" s="685" t="str">
        <f t="shared" si="100"/>
        <v>No Prog ni Ejec</v>
      </c>
      <c r="CM55" s="127">
        <f t="shared" si="6"/>
        <v>0</v>
      </c>
      <c r="CW55" s="121">
        <v>6</v>
      </c>
    </row>
    <row r="56" spans="1:106" s="69" customFormat="1" ht="267.75" x14ac:dyDescent="0.2">
      <c r="A56" s="684">
        <v>11700</v>
      </c>
      <c r="B56" s="627" t="s">
        <v>14</v>
      </c>
      <c r="C56" s="645" t="s">
        <v>669</v>
      </c>
      <c r="D56" s="645"/>
      <c r="E56" s="645"/>
      <c r="F56" s="645" t="s">
        <v>1017</v>
      </c>
      <c r="G56" s="645" t="s">
        <v>1017</v>
      </c>
      <c r="H56" s="645"/>
      <c r="I56" s="645" t="s">
        <v>1017</v>
      </c>
      <c r="J56" s="645"/>
      <c r="K56" s="645"/>
      <c r="L56" s="645" t="s">
        <v>1017</v>
      </c>
      <c r="M56" s="645"/>
      <c r="N56" s="645"/>
      <c r="O56" s="645"/>
      <c r="P56" s="645"/>
      <c r="Q56" s="627" t="s">
        <v>204</v>
      </c>
      <c r="R56" s="627" t="s">
        <v>204</v>
      </c>
      <c r="S56" s="629" t="s">
        <v>238</v>
      </c>
      <c r="T56" s="627" t="s">
        <v>94</v>
      </c>
      <c r="U56" s="627" t="s">
        <v>204</v>
      </c>
      <c r="V56" s="627" t="s">
        <v>204</v>
      </c>
      <c r="W56" s="629" t="s">
        <v>730</v>
      </c>
      <c r="X56" s="627" t="s">
        <v>692</v>
      </c>
      <c r="Y56" s="641" t="s">
        <v>390</v>
      </c>
      <c r="Z56" s="844">
        <v>1</v>
      </c>
      <c r="AA56" s="814" t="s">
        <v>708</v>
      </c>
      <c r="AB56" s="806" t="s">
        <v>676</v>
      </c>
      <c r="AC56" s="1365">
        <v>106329768</v>
      </c>
      <c r="AD56" s="811">
        <v>1</v>
      </c>
      <c r="AE56" s="806" t="s">
        <v>16</v>
      </c>
      <c r="AF56" s="806" t="s">
        <v>21</v>
      </c>
      <c r="AG56" s="806" t="s">
        <v>204</v>
      </c>
      <c r="AH56" s="806" t="s">
        <v>633</v>
      </c>
      <c r="AI56" s="806" t="s">
        <v>77</v>
      </c>
      <c r="AJ56" s="806" t="s">
        <v>1287</v>
      </c>
      <c r="AK56" s="806" t="s">
        <v>700</v>
      </c>
      <c r="AL56" s="806" t="s">
        <v>43</v>
      </c>
      <c r="AM56" s="844">
        <v>1</v>
      </c>
      <c r="AN56" s="806" t="str">
        <f t="shared" si="101"/>
        <v xml:space="preserve">Socializar y divulgar las Políticas de SST y Prevención de alcohol y drogas a todos los servidores públicos y partes interesadas. </v>
      </c>
      <c r="AO56" s="1207">
        <f>+AC56</f>
        <v>106329768</v>
      </c>
      <c r="AP56" s="836" t="s">
        <v>46</v>
      </c>
      <c r="AQ56" s="841">
        <v>1</v>
      </c>
      <c r="AR56" s="806" t="str">
        <f>+AN56</f>
        <v xml:space="preserve">Socializar y divulgar las Políticas de SST y Prevención de alcohol y drogas a todos los servidores públicos y partes interesadas. </v>
      </c>
      <c r="AS56" s="1365">
        <f>+AO56/4</f>
        <v>26582442</v>
      </c>
      <c r="AT56" s="466">
        <v>1</v>
      </c>
      <c r="AU56" s="1369">
        <f>3692006+3692006+4430407+4430407</f>
        <v>16244826</v>
      </c>
      <c r="AV56" s="807">
        <f t="shared" si="77"/>
        <v>1</v>
      </c>
      <c r="AW56" s="1202">
        <f t="shared" si="78"/>
        <v>0.61111112365071651</v>
      </c>
      <c r="AX56" s="807">
        <f t="shared" si="79"/>
        <v>1</v>
      </c>
      <c r="AY56" s="1202">
        <f t="shared" si="80"/>
        <v>0.15277778091267913</v>
      </c>
      <c r="AZ56" s="465" t="s">
        <v>1611</v>
      </c>
      <c r="BA56" s="841">
        <v>0</v>
      </c>
      <c r="BB56" s="806" t="str">
        <f>+AN56</f>
        <v xml:space="preserve">Socializar y divulgar las Políticas de SST y Prevención de alcohol y drogas a todos los servidores públicos y partes interesadas. </v>
      </c>
      <c r="BC56" s="1365">
        <f>$AC$56/4</f>
        <v>26582442</v>
      </c>
      <c r="BD56" s="817">
        <v>0</v>
      </c>
      <c r="BE56" s="1205">
        <f>4430407+4430407+4430407</f>
        <v>13291221</v>
      </c>
      <c r="BF56" s="807" t="e">
        <f t="shared" si="81"/>
        <v>#DIV/0!</v>
      </c>
      <c r="BG56" s="1202">
        <f t="shared" si="82"/>
        <v>0.5</v>
      </c>
      <c r="BH56" s="807">
        <f t="shared" si="83"/>
        <v>1</v>
      </c>
      <c r="BI56" s="1202">
        <f t="shared" si="84"/>
        <v>0.27777778091267913</v>
      </c>
      <c r="BJ56" s="809" t="s">
        <v>1331</v>
      </c>
      <c r="BK56" s="841">
        <v>0</v>
      </c>
      <c r="BL56" s="806" t="str">
        <f>+AN56</f>
        <v xml:space="preserve">Socializar y divulgar las Políticas de SST y Prevención de alcohol y drogas a todos los servidores públicos y partes interesadas. </v>
      </c>
      <c r="BM56" s="1365">
        <f>$AC$56/4</f>
        <v>26582442</v>
      </c>
      <c r="BN56" s="949">
        <v>0</v>
      </c>
      <c r="BO56" s="1205">
        <f>4430407+8860814+4430407+4430407+4430407+4430407+8122413+4430407</f>
        <v>43565669</v>
      </c>
      <c r="BP56" s="807" t="e">
        <f t="shared" si="85"/>
        <v>#DIV/0!</v>
      </c>
      <c r="BQ56" s="1202">
        <f t="shared" si="86"/>
        <v>1.6388888951586915</v>
      </c>
      <c r="BR56" s="807">
        <f t="shared" si="87"/>
        <v>1</v>
      </c>
      <c r="BS56" s="1202">
        <f t="shared" si="88"/>
        <v>0.68750000470235206</v>
      </c>
      <c r="BT56" s="945" t="s">
        <v>1331</v>
      </c>
      <c r="BU56" s="841">
        <v>0</v>
      </c>
      <c r="BV56" s="806" t="str">
        <f>+AN56</f>
        <v xml:space="preserve">Socializar y divulgar las Políticas de SST y Prevención de alcohol y drogas a todos los servidores públicos y partes interesadas. </v>
      </c>
      <c r="BW56" s="1365">
        <f>$AC$56/4</f>
        <v>26582442</v>
      </c>
      <c r="BX56" s="1132">
        <v>0</v>
      </c>
      <c r="BY56" s="1367">
        <v>26582442</v>
      </c>
      <c r="BZ56" s="805" t="e">
        <f t="shared" si="89"/>
        <v>#DIV/0!</v>
      </c>
      <c r="CA56" s="1199">
        <f t="shared" si="90"/>
        <v>1</v>
      </c>
      <c r="CB56" s="805">
        <f t="shared" si="91"/>
        <v>1</v>
      </c>
      <c r="CC56" s="1199">
        <f t="shared" si="92"/>
        <v>0.93750000470235206</v>
      </c>
      <c r="CD56" s="682" t="s">
        <v>1331</v>
      </c>
      <c r="CE56" s="631">
        <f t="shared" si="93"/>
        <v>1</v>
      </c>
      <c r="CF56" s="1263">
        <f t="shared" si="94"/>
        <v>0.61111112365071651</v>
      </c>
      <c r="CG56" s="631" t="str">
        <f t="shared" si="95"/>
        <v>No Prog ni Ejec</v>
      </c>
      <c r="CH56" s="1263">
        <f t="shared" si="96"/>
        <v>0.5</v>
      </c>
      <c r="CI56" s="631" t="str">
        <f t="shared" si="97"/>
        <v>No Prog ni Ejec</v>
      </c>
      <c r="CJ56" s="1263">
        <f t="shared" si="98"/>
        <v>1.6388888951586915</v>
      </c>
      <c r="CK56" s="631" t="str">
        <f t="shared" si="99"/>
        <v>No Prog ni Ejec</v>
      </c>
      <c r="CL56" s="1262">
        <f t="shared" si="100"/>
        <v>1</v>
      </c>
      <c r="CM56" s="127">
        <f t="shared" si="6"/>
        <v>0</v>
      </c>
      <c r="CU56" s="69">
        <v>4</v>
      </c>
    </row>
    <row r="57" spans="1:106" s="69" customFormat="1" ht="140.25" x14ac:dyDescent="0.2">
      <c r="A57" s="684">
        <v>11700</v>
      </c>
      <c r="B57" s="627" t="s">
        <v>14</v>
      </c>
      <c r="C57" s="645" t="s">
        <v>505</v>
      </c>
      <c r="D57" s="645"/>
      <c r="E57" s="645"/>
      <c r="F57" s="645" t="s">
        <v>1017</v>
      </c>
      <c r="G57" s="645"/>
      <c r="H57" s="645"/>
      <c r="I57" s="645" t="s">
        <v>1017</v>
      </c>
      <c r="J57" s="645"/>
      <c r="K57" s="645"/>
      <c r="L57" s="645" t="s">
        <v>1017</v>
      </c>
      <c r="M57" s="645"/>
      <c r="N57" s="645"/>
      <c r="O57" s="645"/>
      <c r="P57" s="645"/>
      <c r="Q57" s="627" t="s">
        <v>204</v>
      </c>
      <c r="R57" s="627" t="s">
        <v>204</v>
      </c>
      <c r="S57" s="629" t="s">
        <v>238</v>
      </c>
      <c r="T57" s="627" t="s">
        <v>94</v>
      </c>
      <c r="U57" s="627" t="s">
        <v>204</v>
      </c>
      <c r="V57" s="627" t="s">
        <v>204</v>
      </c>
      <c r="W57" s="629" t="s">
        <v>731</v>
      </c>
      <c r="X57" s="627" t="s">
        <v>665</v>
      </c>
      <c r="Y57" s="641" t="s">
        <v>390</v>
      </c>
      <c r="Z57" s="844">
        <v>1</v>
      </c>
      <c r="AA57" s="814" t="s">
        <v>709</v>
      </c>
      <c r="AB57" s="806" t="s">
        <v>670</v>
      </c>
      <c r="AC57" s="1365"/>
      <c r="AD57" s="811">
        <v>1</v>
      </c>
      <c r="AE57" s="806" t="s">
        <v>16</v>
      </c>
      <c r="AF57" s="806" t="s">
        <v>21</v>
      </c>
      <c r="AG57" s="806" t="s">
        <v>204</v>
      </c>
      <c r="AH57" s="806" t="s">
        <v>633</v>
      </c>
      <c r="AI57" s="806" t="s">
        <v>77</v>
      </c>
      <c r="AJ57" s="806" t="s">
        <v>1286</v>
      </c>
      <c r="AK57" s="806" t="s">
        <v>700</v>
      </c>
      <c r="AL57" s="806" t="s">
        <v>43</v>
      </c>
      <c r="AM57" s="844">
        <v>1</v>
      </c>
      <c r="AN57" s="806" t="str">
        <f t="shared" si="101"/>
        <v>Actualizar la matriz de requisitos legales</v>
      </c>
      <c r="AO57" s="1207"/>
      <c r="AP57" s="836" t="s">
        <v>46</v>
      </c>
      <c r="AQ57" s="841">
        <v>0</v>
      </c>
      <c r="AR57" s="806" t="str">
        <f t="shared" ref="AR57:AR67" si="102">+AN57</f>
        <v>Actualizar la matriz de requisitos legales</v>
      </c>
      <c r="AS57" s="1365"/>
      <c r="AT57" s="814">
        <v>0</v>
      </c>
      <c r="AU57" s="1205"/>
      <c r="AV57" s="807" t="e">
        <f t="shared" ref="AV57:AV67" si="103">+(AT57/AQ57)</f>
        <v>#DIV/0!</v>
      </c>
      <c r="AW57" s="1202"/>
      <c r="AX57" s="807">
        <f t="shared" ref="AX57:AX67" si="104">+(AT57/AM57)</f>
        <v>0</v>
      </c>
      <c r="AY57" s="1202"/>
      <c r="AZ57" s="492" t="s">
        <v>1331</v>
      </c>
      <c r="BA57" s="841">
        <v>0</v>
      </c>
      <c r="BB57" s="806" t="str">
        <f t="shared" ref="BB57:BB67" si="105">+AN57</f>
        <v>Actualizar la matriz de requisitos legales</v>
      </c>
      <c r="BC57" s="1365"/>
      <c r="BD57" s="817">
        <v>0</v>
      </c>
      <c r="BE57" s="1205"/>
      <c r="BF57" s="807" t="e">
        <f t="shared" ref="BF57:BF67" si="106">+(BD57/BA57)</f>
        <v>#DIV/0!</v>
      </c>
      <c r="BG57" s="1202"/>
      <c r="BH57" s="807">
        <f t="shared" ref="BH57:BH67" si="107">+(BD57+AT57)/AM57</f>
        <v>0</v>
      </c>
      <c r="BI57" s="1202"/>
      <c r="BJ57" s="808" t="s">
        <v>1621</v>
      </c>
      <c r="BK57" s="841">
        <v>1</v>
      </c>
      <c r="BL57" s="806" t="str">
        <f t="shared" ref="BL57:BL67" si="108">+AN57</f>
        <v>Actualizar la matriz de requisitos legales</v>
      </c>
      <c r="BM57" s="1365"/>
      <c r="BN57" s="949">
        <v>1</v>
      </c>
      <c r="BO57" s="1205"/>
      <c r="BP57" s="807">
        <f t="shared" ref="BP57:BP67" si="109">+(BN57/BK57)</f>
        <v>1</v>
      </c>
      <c r="BQ57" s="1202"/>
      <c r="BR57" s="807">
        <f t="shared" ref="BR57:BR67" si="110">+(BD57+AT57+BN57)/AM57</f>
        <v>1</v>
      </c>
      <c r="BS57" s="1202"/>
      <c r="BT57" s="948" t="s">
        <v>1879</v>
      </c>
      <c r="BU57" s="841">
        <v>0</v>
      </c>
      <c r="BV57" s="806" t="str">
        <f t="shared" ref="BV57:BV67" si="111">+AN57</f>
        <v>Actualizar la matriz de requisitos legales</v>
      </c>
      <c r="BW57" s="1365"/>
      <c r="BX57" s="1128">
        <v>0</v>
      </c>
      <c r="BY57" s="1367"/>
      <c r="BZ57" s="805" t="e">
        <f t="shared" ref="BZ57:BZ67" si="112">+(BX57/BU57)</f>
        <v>#DIV/0!</v>
      </c>
      <c r="CA57" s="1199"/>
      <c r="CB57" s="805">
        <f t="shared" ref="CB57:CB67" si="113">+(BD57+AT57+BN57+BX57)/AM57</f>
        <v>1</v>
      </c>
      <c r="CC57" s="1199"/>
      <c r="CD57" s="682" t="s">
        <v>2045</v>
      </c>
      <c r="CE57" s="631" t="str">
        <f t="shared" ref="CE57:CE67" si="114">IF(AND(AQ57=0,AT57=0),"No Prog ni Ejec",IF(AQ57=0,CONCATENATE("No Prog, Ejec=  ",AT57),AT57/AQ57))</f>
        <v>No Prog ni Ejec</v>
      </c>
      <c r="CF57" s="1263"/>
      <c r="CG57" s="631" t="str">
        <f t="shared" ref="CG57:CG67" si="115">IF(AND(BA57=0,BD57=0),"No Prog ni Ejec",IF(BA57=0,CONCATENATE("No Prog, Ejec=  ",BD57),BD57/BA57))</f>
        <v>No Prog ni Ejec</v>
      </c>
      <c r="CH57" s="1263"/>
      <c r="CI57" s="631">
        <f t="shared" ref="CI57:CI67" si="116">IF(AND(BK57=0,BN57=0),"No Prog ni Ejec",IF(BK57=0,CONCATENATE("No Prog, Ejec=  ",BN57),BN57/BK57))</f>
        <v>1</v>
      </c>
      <c r="CJ57" s="1263"/>
      <c r="CK57" s="631" t="str">
        <f t="shared" ref="CK57:CK67" si="117">IF(AND(BU57=0,BX57=0),"No Prog ni Ejec",IF(BU57=0,CONCATENATE("No Prog, Ejec=  ",BX57),BX57/BU57))</f>
        <v>No Prog ni Ejec</v>
      </c>
      <c r="CL57" s="1262"/>
      <c r="CM57" s="127">
        <f t="shared" si="6"/>
        <v>0</v>
      </c>
      <c r="CY57" s="69">
        <v>8</v>
      </c>
      <c r="DB57" s="69">
        <v>11</v>
      </c>
    </row>
    <row r="58" spans="1:106" s="69" customFormat="1" ht="331.5" x14ac:dyDescent="0.2">
      <c r="A58" s="684">
        <v>11700</v>
      </c>
      <c r="B58" s="627" t="s">
        <v>14</v>
      </c>
      <c r="C58" s="645" t="s">
        <v>505</v>
      </c>
      <c r="D58" s="645"/>
      <c r="E58" s="645"/>
      <c r="F58" s="645" t="s">
        <v>1017</v>
      </c>
      <c r="G58" s="645"/>
      <c r="H58" s="645"/>
      <c r="I58" s="645" t="s">
        <v>1017</v>
      </c>
      <c r="J58" s="645"/>
      <c r="K58" s="645"/>
      <c r="L58" s="645" t="s">
        <v>1017</v>
      </c>
      <c r="M58" s="645"/>
      <c r="N58" s="645"/>
      <c r="O58" s="645"/>
      <c r="P58" s="645"/>
      <c r="Q58" s="627" t="s">
        <v>204</v>
      </c>
      <c r="R58" s="627" t="s">
        <v>204</v>
      </c>
      <c r="S58" s="629" t="s">
        <v>238</v>
      </c>
      <c r="T58" s="627" t="s">
        <v>94</v>
      </c>
      <c r="U58" s="627" t="s">
        <v>204</v>
      </c>
      <c r="V58" s="627" t="s">
        <v>204</v>
      </c>
      <c r="W58" s="629" t="s">
        <v>732</v>
      </c>
      <c r="X58" s="627" t="s">
        <v>2093</v>
      </c>
      <c r="Y58" s="641" t="s">
        <v>390</v>
      </c>
      <c r="Z58" s="844">
        <v>1</v>
      </c>
      <c r="AA58" s="814" t="s">
        <v>710</v>
      </c>
      <c r="AB58" s="806" t="s">
        <v>671</v>
      </c>
      <c r="AC58" s="1365"/>
      <c r="AD58" s="811">
        <v>1</v>
      </c>
      <c r="AE58" s="806" t="s">
        <v>16</v>
      </c>
      <c r="AF58" s="806" t="s">
        <v>21</v>
      </c>
      <c r="AG58" s="806" t="s">
        <v>204</v>
      </c>
      <c r="AH58" s="806" t="s">
        <v>633</v>
      </c>
      <c r="AI58" s="806" t="s">
        <v>77</v>
      </c>
      <c r="AJ58" s="806" t="s">
        <v>1286</v>
      </c>
      <c r="AK58" s="806" t="s">
        <v>700</v>
      </c>
      <c r="AL58" s="806" t="s">
        <v>43</v>
      </c>
      <c r="AM58" s="844">
        <v>1</v>
      </c>
      <c r="AN58" s="806" t="str">
        <f t="shared" si="101"/>
        <v>Realizar verificación y actualización de los documentos del SG-SST según requerimientos del decreto 1072 de 2015 y Resolución 1111 de 2017.</v>
      </c>
      <c r="AO58" s="1207"/>
      <c r="AP58" s="836" t="s">
        <v>46</v>
      </c>
      <c r="AQ58" s="841">
        <v>0</v>
      </c>
      <c r="AR58" s="806" t="str">
        <f t="shared" si="102"/>
        <v>Realizar verificación y actualización de los documentos del SG-SST según requerimientos del decreto 1072 de 2015 y Resolución 1111 de 2017.</v>
      </c>
      <c r="AS58" s="1365"/>
      <c r="AT58" s="466">
        <v>0</v>
      </c>
      <c r="AU58" s="1369"/>
      <c r="AV58" s="807" t="e">
        <f t="shared" si="103"/>
        <v>#DIV/0!</v>
      </c>
      <c r="AW58" s="1202"/>
      <c r="AX58" s="807">
        <f t="shared" si="104"/>
        <v>0</v>
      </c>
      <c r="AY58" s="1202"/>
      <c r="AZ58" s="465" t="s">
        <v>1612</v>
      </c>
      <c r="BA58" s="841">
        <v>0</v>
      </c>
      <c r="BB58" s="806" t="str">
        <f t="shared" si="105"/>
        <v>Realizar verificación y actualización de los documentos del SG-SST según requerimientos del decreto 1072 de 2015 y Resolución 1111 de 2017.</v>
      </c>
      <c r="BC58" s="1365"/>
      <c r="BD58" s="817">
        <v>0</v>
      </c>
      <c r="BE58" s="1205"/>
      <c r="BF58" s="807" t="e">
        <f t="shared" si="106"/>
        <v>#DIV/0!</v>
      </c>
      <c r="BG58" s="1202"/>
      <c r="BH58" s="807">
        <f t="shared" si="107"/>
        <v>0</v>
      </c>
      <c r="BI58" s="1202"/>
      <c r="BJ58" s="809" t="s">
        <v>1331</v>
      </c>
      <c r="BK58" s="841">
        <v>1</v>
      </c>
      <c r="BL58" s="806" t="str">
        <f t="shared" si="108"/>
        <v>Realizar verificación y actualización de los documentos del SG-SST según requerimientos del decreto 1072 de 2015 y Resolución 1111 de 2017.</v>
      </c>
      <c r="BM58" s="1365"/>
      <c r="BN58" s="949">
        <v>1</v>
      </c>
      <c r="BO58" s="1205"/>
      <c r="BP58" s="807">
        <f t="shared" si="109"/>
        <v>1</v>
      </c>
      <c r="BQ58" s="1202"/>
      <c r="BR58" s="807">
        <f t="shared" si="110"/>
        <v>1</v>
      </c>
      <c r="BS58" s="1202"/>
      <c r="BT58" s="948" t="s">
        <v>1880</v>
      </c>
      <c r="BU58" s="841">
        <v>0</v>
      </c>
      <c r="BV58" s="806" t="str">
        <f t="shared" si="111"/>
        <v>Realizar verificación y actualización de los documentos del SG-SST según requerimientos del decreto 1072 de 2015 y Resolución 1111 de 2017.</v>
      </c>
      <c r="BW58" s="1365"/>
      <c r="BX58" s="1132">
        <v>0</v>
      </c>
      <c r="BY58" s="1367"/>
      <c r="BZ58" s="805" t="e">
        <f t="shared" si="112"/>
        <v>#DIV/0!</v>
      </c>
      <c r="CA58" s="1199"/>
      <c r="CB58" s="805">
        <f t="shared" si="113"/>
        <v>1</v>
      </c>
      <c r="CC58" s="1199"/>
      <c r="CD58" s="682" t="s">
        <v>2046</v>
      </c>
      <c r="CE58" s="631" t="str">
        <f t="shared" si="114"/>
        <v>No Prog ni Ejec</v>
      </c>
      <c r="CF58" s="1263"/>
      <c r="CG58" s="631" t="str">
        <f t="shared" si="115"/>
        <v>No Prog ni Ejec</v>
      </c>
      <c r="CH58" s="1263"/>
      <c r="CI58" s="631">
        <f t="shared" si="116"/>
        <v>1</v>
      </c>
      <c r="CJ58" s="1263"/>
      <c r="CK58" s="631" t="str">
        <f t="shared" si="117"/>
        <v>No Prog ni Ejec</v>
      </c>
      <c r="CL58" s="1262"/>
      <c r="CM58" s="127">
        <f t="shared" si="6"/>
        <v>0</v>
      </c>
      <c r="CY58" s="69">
        <v>8</v>
      </c>
      <c r="DB58" s="69">
        <v>11</v>
      </c>
    </row>
    <row r="59" spans="1:106" s="69" customFormat="1" ht="127.5" x14ac:dyDescent="0.2">
      <c r="A59" s="684">
        <v>11700</v>
      </c>
      <c r="B59" s="627" t="s">
        <v>14</v>
      </c>
      <c r="C59" s="645" t="s">
        <v>505</v>
      </c>
      <c r="D59" s="645"/>
      <c r="E59" s="645"/>
      <c r="F59" s="645" t="s">
        <v>1017</v>
      </c>
      <c r="G59" s="645"/>
      <c r="H59" s="645"/>
      <c r="I59" s="645" t="s">
        <v>1017</v>
      </c>
      <c r="J59" s="645"/>
      <c r="K59" s="645"/>
      <c r="L59" s="645" t="s">
        <v>1017</v>
      </c>
      <c r="M59" s="645"/>
      <c r="N59" s="645"/>
      <c r="O59" s="645"/>
      <c r="P59" s="645"/>
      <c r="Q59" s="627" t="s">
        <v>204</v>
      </c>
      <c r="R59" s="627" t="s">
        <v>204</v>
      </c>
      <c r="S59" s="629" t="s">
        <v>238</v>
      </c>
      <c r="T59" s="627" t="s">
        <v>94</v>
      </c>
      <c r="U59" s="627" t="s">
        <v>204</v>
      </c>
      <c r="V59" s="627" t="s">
        <v>204</v>
      </c>
      <c r="W59" s="629" t="s">
        <v>733</v>
      </c>
      <c r="X59" s="627" t="s">
        <v>679</v>
      </c>
      <c r="Y59" s="641" t="s">
        <v>390</v>
      </c>
      <c r="Z59" s="844">
        <v>1</v>
      </c>
      <c r="AA59" s="814" t="s">
        <v>711</v>
      </c>
      <c r="AB59" s="806" t="s">
        <v>677</v>
      </c>
      <c r="AC59" s="1365"/>
      <c r="AD59" s="811">
        <v>1</v>
      </c>
      <c r="AE59" s="806" t="s">
        <v>16</v>
      </c>
      <c r="AF59" s="806" t="s">
        <v>21</v>
      </c>
      <c r="AG59" s="806" t="s">
        <v>204</v>
      </c>
      <c r="AH59" s="806" t="s">
        <v>633</v>
      </c>
      <c r="AI59" s="806" t="s">
        <v>77</v>
      </c>
      <c r="AJ59" s="806" t="s">
        <v>1286</v>
      </c>
      <c r="AK59" s="806" t="s">
        <v>700</v>
      </c>
      <c r="AL59" s="806" t="s">
        <v>43</v>
      </c>
      <c r="AM59" s="844">
        <v>1</v>
      </c>
      <c r="AN59" s="806" t="str">
        <f t="shared" si="101"/>
        <v>Elaborar  programa de medicina preventiva y definir las actividades de intervención de la ATEL.</v>
      </c>
      <c r="AO59" s="1207"/>
      <c r="AP59" s="836" t="s">
        <v>46</v>
      </c>
      <c r="AQ59" s="841">
        <v>0</v>
      </c>
      <c r="AR59" s="806" t="str">
        <f t="shared" si="102"/>
        <v>Elaborar  programa de medicina preventiva y definir las actividades de intervención de la ATEL.</v>
      </c>
      <c r="AS59" s="1365"/>
      <c r="AT59" s="466">
        <v>0</v>
      </c>
      <c r="AU59" s="1369"/>
      <c r="AV59" s="807" t="e">
        <f t="shared" si="103"/>
        <v>#DIV/0!</v>
      </c>
      <c r="AW59" s="1202"/>
      <c r="AX59" s="807">
        <f t="shared" si="104"/>
        <v>0</v>
      </c>
      <c r="AY59" s="1202"/>
      <c r="AZ59" s="465" t="s">
        <v>1613</v>
      </c>
      <c r="BA59" s="841">
        <v>0</v>
      </c>
      <c r="BB59" s="806" t="str">
        <f t="shared" si="105"/>
        <v>Elaborar  programa de medicina preventiva y definir las actividades de intervención de la ATEL.</v>
      </c>
      <c r="BC59" s="1365"/>
      <c r="BD59" s="817">
        <v>0</v>
      </c>
      <c r="BE59" s="1205"/>
      <c r="BF59" s="807" t="e">
        <f t="shared" si="106"/>
        <v>#DIV/0!</v>
      </c>
      <c r="BG59" s="1202"/>
      <c r="BH59" s="807">
        <f t="shared" si="107"/>
        <v>0</v>
      </c>
      <c r="BI59" s="1202"/>
      <c r="BJ59" s="809" t="s">
        <v>1331</v>
      </c>
      <c r="BK59" s="841">
        <v>1</v>
      </c>
      <c r="BL59" s="806" t="str">
        <f t="shared" si="108"/>
        <v>Elaborar  programa de medicina preventiva y definir las actividades de intervención de la ATEL.</v>
      </c>
      <c r="BM59" s="1365"/>
      <c r="BN59" s="949">
        <v>1</v>
      </c>
      <c r="BO59" s="1205"/>
      <c r="BP59" s="807">
        <f t="shared" si="109"/>
        <v>1</v>
      </c>
      <c r="BQ59" s="1202"/>
      <c r="BR59" s="807">
        <f t="shared" si="110"/>
        <v>1</v>
      </c>
      <c r="BS59" s="1202"/>
      <c r="BT59" s="948" t="s">
        <v>1881</v>
      </c>
      <c r="BU59" s="841">
        <v>0</v>
      </c>
      <c r="BV59" s="806" t="str">
        <f t="shared" si="111"/>
        <v>Elaborar  programa de medicina preventiva y definir las actividades de intervención de la ATEL.</v>
      </c>
      <c r="BW59" s="1365"/>
      <c r="BX59" s="1132">
        <v>0</v>
      </c>
      <c r="BY59" s="1367"/>
      <c r="BZ59" s="805" t="e">
        <f t="shared" si="112"/>
        <v>#DIV/0!</v>
      </c>
      <c r="CA59" s="1199"/>
      <c r="CB59" s="805">
        <f t="shared" si="113"/>
        <v>1</v>
      </c>
      <c r="CC59" s="1199"/>
      <c r="CD59" s="682" t="s">
        <v>2047</v>
      </c>
      <c r="CE59" s="631" t="str">
        <f t="shared" si="114"/>
        <v>No Prog ni Ejec</v>
      </c>
      <c r="CF59" s="1263"/>
      <c r="CG59" s="631" t="str">
        <f t="shared" si="115"/>
        <v>No Prog ni Ejec</v>
      </c>
      <c r="CH59" s="1263"/>
      <c r="CI59" s="631">
        <f t="shared" si="116"/>
        <v>1</v>
      </c>
      <c r="CJ59" s="1263"/>
      <c r="CK59" s="631" t="str">
        <f t="shared" si="117"/>
        <v>No Prog ni Ejec</v>
      </c>
      <c r="CL59" s="1262"/>
      <c r="CM59" s="127">
        <f t="shared" si="6"/>
        <v>0</v>
      </c>
      <c r="CY59" s="69">
        <v>8</v>
      </c>
      <c r="DB59" s="69">
        <v>11</v>
      </c>
    </row>
    <row r="60" spans="1:106" s="69" customFormat="1" ht="229.5" x14ac:dyDescent="0.2">
      <c r="A60" s="684">
        <v>11700</v>
      </c>
      <c r="B60" s="627" t="s">
        <v>14</v>
      </c>
      <c r="C60" s="645" t="s">
        <v>505</v>
      </c>
      <c r="D60" s="645"/>
      <c r="E60" s="645"/>
      <c r="F60" s="645" t="s">
        <v>1017</v>
      </c>
      <c r="G60" s="645"/>
      <c r="H60" s="645"/>
      <c r="I60" s="645" t="s">
        <v>1017</v>
      </c>
      <c r="J60" s="645"/>
      <c r="K60" s="645"/>
      <c r="L60" s="645" t="s">
        <v>1017</v>
      </c>
      <c r="M60" s="645"/>
      <c r="N60" s="645"/>
      <c r="O60" s="645"/>
      <c r="P60" s="645"/>
      <c r="Q60" s="627" t="s">
        <v>204</v>
      </c>
      <c r="R60" s="627" t="s">
        <v>204</v>
      </c>
      <c r="S60" s="629" t="s">
        <v>238</v>
      </c>
      <c r="T60" s="627" t="s">
        <v>94</v>
      </c>
      <c r="U60" s="627" t="s">
        <v>204</v>
      </c>
      <c r="V60" s="627" t="s">
        <v>204</v>
      </c>
      <c r="W60" s="629" t="s">
        <v>734</v>
      </c>
      <c r="X60" s="627" t="s">
        <v>680</v>
      </c>
      <c r="Y60" s="641" t="s">
        <v>390</v>
      </c>
      <c r="Z60" s="844">
        <v>1</v>
      </c>
      <c r="AA60" s="814" t="s">
        <v>712</v>
      </c>
      <c r="AB60" s="806" t="s">
        <v>678</v>
      </c>
      <c r="AC60" s="1365"/>
      <c r="AD60" s="811">
        <v>1</v>
      </c>
      <c r="AE60" s="806" t="s">
        <v>16</v>
      </c>
      <c r="AF60" s="806" t="s">
        <v>21</v>
      </c>
      <c r="AG60" s="806" t="s">
        <v>204</v>
      </c>
      <c r="AH60" s="806" t="s">
        <v>633</v>
      </c>
      <c r="AI60" s="806" t="s">
        <v>77</v>
      </c>
      <c r="AJ60" s="806" t="s">
        <v>1286</v>
      </c>
      <c r="AK60" s="806" t="s">
        <v>700</v>
      </c>
      <c r="AL60" s="806" t="s">
        <v>43</v>
      </c>
      <c r="AM60" s="844">
        <v>1</v>
      </c>
      <c r="AN60" s="806" t="str">
        <f t="shared" si="101"/>
        <v xml:space="preserve">Elaborar programa de orden y aseso  y definir las actividades de intervención </v>
      </c>
      <c r="AO60" s="1207"/>
      <c r="AP60" s="836" t="s">
        <v>46</v>
      </c>
      <c r="AQ60" s="841">
        <v>0</v>
      </c>
      <c r="AR60" s="806" t="str">
        <f t="shared" si="102"/>
        <v xml:space="preserve">Elaborar programa de orden y aseso  y definir las actividades de intervención </v>
      </c>
      <c r="AS60" s="1365"/>
      <c r="AT60" s="466">
        <v>0</v>
      </c>
      <c r="AU60" s="1369"/>
      <c r="AV60" s="807" t="e">
        <f t="shared" si="103"/>
        <v>#DIV/0!</v>
      </c>
      <c r="AW60" s="1202"/>
      <c r="AX60" s="807">
        <f t="shared" si="104"/>
        <v>0</v>
      </c>
      <c r="AY60" s="1202"/>
      <c r="AZ60" s="465" t="s">
        <v>1614</v>
      </c>
      <c r="BA60" s="841">
        <v>0</v>
      </c>
      <c r="BB60" s="806" t="str">
        <f t="shared" si="105"/>
        <v xml:space="preserve">Elaborar programa de orden y aseso  y definir las actividades de intervención </v>
      </c>
      <c r="BC60" s="1365"/>
      <c r="BD60" s="817">
        <v>0</v>
      </c>
      <c r="BE60" s="1205"/>
      <c r="BF60" s="807" t="e">
        <f t="shared" si="106"/>
        <v>#DIV/0!</v>
      </c>
      <c r="BG60" s="1202"/>
      <c r="BH60" s="807">
        <f t="shared" si="107"/>
        <v>0</v>
      </c>
      <c r="BI60" s="1202"/>
      <c r="BJ60" s="809" t="s">
        <v>1331</v>
      </c>
      <c r="BK60" s="841">
        <v>1</v>
      </c>
      <c r="BL60" s="806" t="str">
        <f t="shared" si="108"/>
        <v xml:space="preserve">Elaborar programa de orden y aseso  y definir las actividades de intervención </v>
      </c>
      <c r="BM60" s="1365"/>
      <c r="BN60" s="949">
        <v>1</v>
      </c>
      <c r="BO60" s="1205"/>
      <c r="BP60" s="807">
        <f t="shared" si="109"/>
        <v>1</v>
      </c>
      <c r="BQ60" s="1202"/>
      <c r="BR60" s="807">
        <f t="shared" si="110"/>
        <v>1</v>
      </c>
      <c r="BS60" s="1202"/>
      <c r="BT60" s="948" t="s">
        <v>1882</v>
      </c>
      <c r="BU60" s="841">
        <v>0</v>
      </c>
      <c r="BV60" s="806" t="str">
        <f t="shared" si="111"/>
        <v xml:space="preserve">Elaborar programa de orden y aseso  y definir las actividades de intervención </v>
      </c>
      <c r="BW60" s="1365"/>
      <c r="BX60" s="1132">
        <v>0</v>
      </c>
      <c r="BY60" s="1367"/>
      <c r="BZ60" s="805" t="e">
        <f t="shared" si="112"/>
        <v>#DIV/0!</v>
      </c>
      <c r="CA60" s="1199"/>
      <c r="CB60" s="805">
        <f t="shared" si="113"/>
        <v>1</v>
      </c>
      <c r="CC60" s="1199"/>
      <c r="CD60" s="682" t="s">
        <v>2047</v>
      </c>
      <c r="CE60" s="631" t="str">
        <f t="shared" si="114"/>
        <v>No Prog ni Ejec</v>
      </c>
      <c r="CF60" s="1263"/>
      <c r="CG60" s="631" t="str">
        <f t="shared" si="115"/>
        <v>No Prog ni Ejec</v>
      </c>
      <c r="CH60" s="1263"/>
      <c r="CI60" s="631">
        <f t="shared" si="116"/>
        <v>1</v>
      </c>
      <c r="CJ60" s="1263"/>
      <c r="CK60" s="631" t="str">
        <f t="shared" si="117"/>
        <v>No Prog ni Ejec</v>
      </c>
      <c r="CL60" s="1262"/>
      <c r="CM60" s="127">
        <f t="shared" si="6"/>
        <v>0</v>
      </c>
      <c r="CY60" s="69">
        <v>8</v>
      </c>
      <c r="DB60" s="69">
        <v>11</v>
      </c>
    </row>
    <row r="61" spans="1:106" s="69" customFormat="1" ht="102" x14ac:dyDescent="0.2">
      <c r="A61" s="684">
        <v>11700</v>
      </c>
      <c r="B61" s="627" t="s">
        <v>14</v>
      </c>
      <c r="C61" s="645" t="s">
        <v>505</v>
      </c>
      <c r="D61" s="645"/>
      <c r="E61" s="645"/>
      <c r="F61" s="645" t="s">
        <v>1017</v>
      </c>
      <c r="G61" s="645"/>
      <c r="H61" s="645"/>
      <c r="I61" s="645" t="s">
        <v>1017</v>
      </c>
      <c r="J61" s="645"/>
      <c r="K61" s="645"/>
      <c r="L61" s="645" t="s">
        <v>1017</v>
      </c>
      <c r="M61" s="645"/>
      <c r="N61" s="645"/>
      <c r="O61" s="645"/>
      <c r="P61" s="645"/>
      <c r="Q61" s="627" t="s">
        <v>204</v>
      </c>
      <c r="R61" s="627" t="s">
        <v>204</v>
      </c>
      <c r="S61" s="629" t="s">
        <v>238</v>
      </c>
      <c r="T61" s="627" t="s">
        <v>94</v>
      </c>
      <c r="U61" s="627" t="s">
        <v>204</v>
      </c>
      <c r="V61" s="627" t="s">
        <v>204</v>
      </c>
      <c r="W61" s="629" t="s">
        <v>735</v>
      </c>
      <c r="X61" s="627" t="s">
        <v>687</v>
      </c>
      <c r="Y61" s="641" t="s">
        <v>390</v>
      </c>
      <c r="Z61" s="844">
        <v>1</v>
      </c>
      <c r="AA61" s="814" t="s">
        <v>713</v>
      </c>
      <c r="AB61" s="806" t="s">
        <v>681</v>
      </c>
      <c r="AC61" s="1365"/>
      <c r="AD61" s="811">
        <v>1</v>
      </c>
      <c r="AE61" s="806" t="s">
        <v>16</v>
      </c>
      <c r="AF61" s="806" t="s">
        <v>21</v>
      </c>
      <c r="AG61" s="806" t="s">
        <v>204</v>
      </c>
      <c r="AH61" s="806" t="s">
        <v>633</v>
      </c>
      <c r="AI61" s="806" t="s">
        <v>77</v>
      </c>
      <c r="AJ61" s="806" t="s">
        <v>1286</v>
      </c>
      <c r="AK61" s="806" t="s">
        <v>700</v>
      </c>
      <c r="AL61" s="806" t="s">
        <v>43</v>
      </c>
      <c r="AM61" s="844">
        <v>1</v>
      </c>
      <c r="AN61" s="806" t="str">
        <f t="shared" si="101"/>
        <v>Elaborar el programa de vigilancia epidemiológicos  de riesgo Psicosocial y Biomecánico y definir las actividades de  intervención.</v>
      </c>
      <c r="AO61" s="1207"/>
      <c r="AP61" s="836" t="s">
        <v>46</v>
      </c>
      <c r="AQ61" s="841">
        <v>0</v>
      </c>
      <c r="AR61" s="806" t="str">
        <f t="shared" si="102"/>
        <v>Elaborar el programa de vigilancia epidemiológicos  de riesgo Psicosocial y Biomecánico y definir las actividades de  intervención.</v>
      </c>
      <c r="AS61" s="1365"/>
      <c r="AT61" s="814">
        <v>0</v>
      </c>
      <c r="AU61" s="1205"/>
      <c r="AV61" s="807" t="e">
        <f t="shared" si="103"/>
        <v>#DIV/0!</v>
      </c>
      <c r="AW61" s="1202"/>
      <c r="AX61" s="807">
        <f t="shared" si="104"/>
        <v>0</v>
      </c>
      <c r="AY61" s="1202"/>
      <c r="AZ61" s="492" t="s">
        <v>1331</v>
      </c>
      <c r="BA61" s="841">
        <v>0</v>
      </c>
      <c r="BB61" s="806" t="str">
        <f t="shared" si="105"/>
        <v>Elaborar el programa de vigilancia epidemiológicos  de riesgo Psicosocial y Biomecánico y definir las actividades de  intervención.</v>
      </c>
      <c r="BC61" s="1365"/>
      <c r="BD61" s="817">
        <v>0</v>
      </c>
      <c r="BE61" s="1205"/>
      <c r="BF61" s="807" t="e">
        <f t="shared" si="106"/>
        <v>#DIV/0!</v>
      </c>
      <c r="BG61" s="1202"/>
      <c r="BH61" s="807">
        <f t="shared" si="107"/>
        <v>0</v>
      </c>
      <c r="BI61" s="1202"/>
      <c r="BJ61" s="808" t="s">
        <v>1621</v>
      </c>
      <c r="BK61" s="841">
        <v>1</v>
      </c>
      <c r="BL61" s="806" t="str">
        <f t="shared" si="108"/>
        <v>Elaborar el programa de vigilancia epidemiológicos  de riesgo Psicosocial y Biomecánico y definir las actividades de  intervención.</v>
      </c>
      <c r="BM61" s="1365"/>
      <c r="BN61" s="949">
        <v>1</v>
      </c>
      <c r="BO61" s="1205"/>
      <c r="BP61" s="807">
        <f t="shared" si="109"/>
        <v>1</v>
      </c>
      <c r="BQ61" s="1202"/>
      <c r="BR61" s="807">
        <f t="shared" si="110"/>
        <v>1</v>
      </c>
      <c r="BS61" s="1202"/>
      <c r="BT61" s="948" t="s">
        <v>1883</v>
      </c>
      <c r="BU61" s="841">
        <v>0</v>
      </c>
      <c r="BV61" s="806" t="str">
        <f t="shared" si="111"/>
        <v>Elaborar el programa de vigilancia epidemiológicos  de riesgo Psicosocial y Biomecánico y definir las actividades de  intervención.</v>
      </c>
      <c r="BW61" s="1365"/>
      <c r="BX61" s="1132">
        <v>0</v>
      </c>
      <c r="BY61" s="1367"/>
      <c r="BZ61" s="805" t="e">
        <f t="shared" si="112"/>
        <v>#DIV/0!</v>
      </c>
      <c r="CA61" s="1199"/>
      <c r="CB61" s="805">
        <f t="shared" si="113"/>
        <v>1</v>
      </c>
      <c r="CC61" s="1199"/>
      <c r="CD61" s="682"/>
      <c r="CE61" s="631" t="str">
        <f t="shared" si="114"/>
        <v>No Prog ni Ejec</v>
      </c>
      <c r="CF61" s="1263"/>
      <c r="CG61" s="631" t="str">
        <f t="shared" si="115"/>
        <v>No Prog ni Ejec</v>
      </c>
      <c r="CH61" s="1263"/>
      <c r="CI61" s="631">
        <f t="shared" si="116"/>
        <v>1</v>
      </c>
      <c r="CJ61" s="1263"/>
      <c r="CK61" s="631" t="str">
        <f t="shared" si="117"/>
        <v>No Prog ni Ejec</v>
      </c>
      <c r="CL61" s="1262"/>
      <c r="CM61" s="127">
        <f t="shared" si="6"/>
        <v>0</v>
      </c>
      <c r="CY61" s="69">
        <v>8</v>
      </c>
      <c r="DB61" s="69">
        <v>11</v>
      </c>
    </row>
    <row r="62" spans="1:106" s="69" customFormat="1" ht="127.5" x14ac:dyDescent="0.2">
      <c r="A62" s="684">
        <v>11700</v>
      </c>
      <c r="B62" s="627" t="s">
        <v>14</v>
      </c>
      <c r="C62" s="645" t="s">
        <v>505</v>
      </c>
      <c r="D62" s="645"/>
      <c r="E62" s="645"/>
      <c r="F62" s="645" t="s">
        <v>1017</v>
      </c>
      <c r="G62" s="645"/>
      <c r="H62" s="645"/>
      <c r="I62" s="645" t="s">
        <v>1017</v>
      </c>
      <c r="J62" s="645"/>
      <c r="K62" s="645"/>
      <c r="L62" s="645" t="s">
        <v>1017</v>
      </c>
      <c r="M62" s="645"/>
      <c r="N62" s="645"/>
      <c r="O62" s="645"/>
      <c r="P62" s="645"/>
      <c r="Q62" s="627" t="s">
        <v>204</v>
      </c>
      <c r="R62" s="627" t="s">
        <v>204</v>
      </c>
      <c r="S62" s="629" t="s">
        <v>238</v>
      </c>
      <c r="T62" s="627" t="s">
        <v>94</v>
      </c>
      <c r="U62" s="627" t="s">
        <v>204</v>
      </c>
      <c r="V62" s="627" t="s">
        <v>204</v>
      </c>
      <c r="W62" s="629" t="s">
        <v>736</v>
      </c>
      <c r="X62" s="627" t="s">
        <v>688</v>
      </c>
      <c r="Y62" s="641" t="s">
        <v>390</v>
      </c>
      <c r="Z62" s="844">
        <v>1</v>
      </c>
      <c r="AA62" s="814" t="s">
        <v>714</v>
      </c>
      <c r="AB62" s="806" t="s">
        <v>682</v>
      </c>
      <c r="AC62" s="1365"/>
      <c r="AD62" s="811">
        <v>1</v>
      </c>
      <c r="AE62" s="806" t="s">
        <v>16</v>
      </c>
      <c r="AF62" s="806" t="s">
        <v>21</v>
      </c>
      <c r="AG62" s="806" t="s">
        <v>204</v>
      </c>
      <c r="AH62" s="806" t="s">
        <v>633</v>
      </c>
      <c r="AI62" s="806" t="s">
        <v>77</v>
      </c>
      <c r="AJ62" s="806" t="s">
        <v>1286</v>
      </c>
      <c r="AK62" s="806" t="s">
        <v>700</v>
      </c>
      <c r="AL62" s="806" t="s">
        <v>43</v>
      </c>
      <c r="AM62" s="844">
        <f>+Z62</f>
        <v>1</v>
      </c>
      <c r="AN62" s="806" t="str">
        <f t="shared" si="101"/>
        <v>Elaborar el programa de manejo de sustancias químicas (Sistema Globalmente armonizado)</v>
      </c>
      <c r="AO62" s="1207"/>
      <c r="AP62" s="836" t="s">
        <v>46</v>
      </c>
      <c r="AQ62" s="841">
        <v>0</v>
      </c>
      <c r="AR62" s="806" t="str">
        <f t="shared" si="102"/>
        <v>Elaborar el programa de manejo de sustancias químicas (Sistema Globalmente armonizado)</v>
      </c>
      <c r="AS62" s="1365"/>
      <c r="AT62" s="814">
        <v>0</v>
      </c>
      <c r="AU62" s="1205"/>
      <c r="AV62" s="807" t="e">
        <f t="shared" si="103"/>
        <v>#DIV/0!</v>
      </c>
      <c r="AW62" s="1202"/>
      <c r="AX62" s="807">
        <f t="shared" si="104"/>
        <v>0</v>
      </c>
      <c r="AY62" s="1202"/>
      <c r="AZ62" s="492" t="s">
        <v>1331</v>
      </c>
      <c r="BA62" s="841">
        <v>0</v>
      </c>
      <c r="BB62" s="806" t="str">
        <f t="shared" si="105"/>
        <v>Elaborar el programa de manejo de sustancias químicas (Sistema Globalmente armonizado)</v>
      </c>
      <c r="BC62" s="1365"/>
      <c r="BD62" s="817">
        <v>0</v>
      </c>
      <c r="BE62" s="1205"/>
      <c r="BF62" s="807" t="e">
        <f t="shared" si="106"/>
        <v>#DIV/0!</v>
      </c>
      <c r="BG62" s="1202"/>
      <c r="BH62" s="807">
        <f t="shared" si="107"/>
        <v>0</v>
      </c>
      <c r="BI62" s="1202"/>
      <c r="BJ62" s="808" t="s">
        <v>1622</v>
      </c>
      <c r="BK62" s="841">
        <v>1</v>
      </c>
      <c r="BL62" s="806" t="str">
        <f t="shared" si="108"/>
        <v>Elaborar el programa de manejo de sustancias químicas (Sistema Globalmente armonizado)</v>
      </c>
      <c r="BM62" s="1365"/>
      <c r="BN62" s="949">
        <v>1</v>
      </c>
      <c r="BO62" s="1205"/>
      <c r="BP62" s="807">
        <f t="shared" si="109"/>
        <v>1</v>
      </c>
      <c r="BQ62" s="1202"/>
      <c r="BR62" s="807">
        <f t="shared" si="110"/>
        <v>1</v>
      </c>
      <c r="BS62" s="1202"/>
      <c r="BT62" s="948" t="s">
        <v>1884</v>
      </c>
      <c r="BU62" s="841">
        <v>0</v>
      </c>
      <c r="BV62" s="806" t="str">
        <f t="shared" si="111"/>
        <v>Elaborar el programa de manejo de sustancias químicas (Sistema Globalmente armonizado)</v>
      </c>
      <c r="BW62" s="1365"/>
      <c r="BX62" s="1132">
        <v>0</v>
      </c>
      <c r="BY62" s="1367"/>
      <c r="BZ62" s="805" t="e">
        <f t="shared" si="112"/>
        <v>#DIV/0!</v>
      </c>
      <c r="CA62" s="1199"/>
      <c r="CB62" s="805">
        <f t="shared" si="113"/>
        <v>1</v>
      </c>
      <c r="CC62" s="1199"/>
      <c r="CD62" s="682" t="s">
        <v>2047</v>
      </c>
      <c r="CE62" s="631" t="str">
        <f t="shared" si="114"/>
        <v>No Prog ni Ejec</v>
      </c>
      <c r="CF62" s="1263"/>
      <c r="CG62" s="631" t="str">
        <f t="shared" si="115"/>
        <v>No Prog ni Ejec</v>
      </c>
      <c r="CH62" s="1263"/>
      <c r="CI62" s="631">
        <f t="shared" si="116"/>
        <v>1</v>
      </c>
      <c r="CJ62" s="1263"/>
      <c r="CK62" s="631" t="str">
        <f t="shared" si="117"/>
        <v>No Prog ni Ejec</v>
      </c>
      <c r="CL62" s="1262"/>
      <c r="CM62" s="127">
        <f t="shared" si="6"/>
        <v>0</v>
      </c>
      <c r="CY62" s="69">
        <v>8</v>
      </c>
      <c r="DB62" s="69">
        <v>11</v>
      </c>
    </row>
    <row r="63" spans="1:106" s="69" customFormat="1" ht="242.25" x14ac:dyDescent="0.2">
      <c r="A63" s="684">
        <v>11700</v>
      </c>
      <c r="B63" s="627" t="s">
        <v>14</v>
      </c>
      <c r="C63" s="645" t="s">
        <v>669</v>
      </c>
      <c r="D63" s="645"/>
      <c r="E63" s="645"/>
      <c r="F63" s="645" t="s">
        <v>1017</v>
      </c>
      <c r="G63" s="645" t="s">
        <v>1017</v>
      </c>
      <c r="H63" s="645"/>
      <c r="I63" s="645" t="s">
        <v>1017</v>
      </c>
      <c r="J63" s="645"/>
      <c r="K63" s="645"/>
      <c r="L63" s="645" t="s">
        <v>1017</v>
      </c>
      <c r="M63" s="645"/>
      <c r="N63" s="645"/>
      <c r="O63" s="645"/>
      <c r="P63" s="645"/>
      <c r="Q63" s="627" t="s">
        <v>204</v>
      </c>
      <c r="R63" s="627" t="s">
        <v>204</v>
      </c>
      <c r="S63" s="629" t="s">
        <v>238</v>
      </c>
      <c r="T63" s="627" t="s">
        <v>94</v>
      </c>
      <c r="U63" s="627" t="s">
        <v>204</v>
      </c>
      <c r="V63" s="627" t="s">
        <v>204</v>
      </c>
      <c r="W63" s="629" t="s">
        <v>737</v>
      </c>
      <c r="X63" s="627" t="s">
        <v>693</v>
      </c>
      <c r="Y63" s="641" t="s">
        <v>390</v>
      </c>
      <c r="Z63" s="844">
        <v>1</v>
      </c>
      <c r="AA63" s="814" t="s">
        <v>715</v>
      </c>
      <c r="AB63" s="806" t="s">
        <v>683</v>
      </c>
      <c r="AC63" s="1365"/>
      <c r="AD63" s="811">
        <v>1</v>
      </c>
      <c r="AE63" s="806" t="s">
        <v>16</v>
      </c>
      <c r="AF63" s="806" t="s">
        <v>21</v>
      </c>
      <c r="AG63" s="806" t="s">
        <v>204</v>
      </c>
      <c r="AH63" s="806" t="s">
        <v>633</v>
      </c>
      <c r="AI63" s="806" t="s">
        <v>77</v>
      </c>
      <c r="AJ63" s="806" t="s">
        <v>1287</v>
      </c>
      <c r="AK63" s="806" t="s">
        <v>700</v>
      </c>
      <c r="AL63" s="806" t="s">
        <v>43</v>
      </c>
      <c r="AM63" s="844">
        <v>1</v>
      </c>
      <c r="AN63" s="806" t="str">
        <f t="shared" si="101"/>
        <v>Socializar y divulgar los roles y responsabilidades a todos los servidores públicos y partes interesadas</v>
      </c>
      <c r="AO63" s="1207"/>
      <c r="AP63" s="836" t="s">
        <v>46</v>
      </c>
      <c r="AQ63" s="841">
        <v>1</v>
      </c>
      <c r="AR63" s="806" t="str">
        <f t="shared" si="102"/>
        <v>Socializar y divulgar los roles y responsabilidades a todos los servidores públicos y partes interesadas</v>
      </c>
      <c r="AS63" s="1365"/>
      <c r="AT63" s="466">
        <v>1</v>
      </c>
      <c r="AU63" s="1369"/>
      <c r="AV63" s="807">
        <f t="shared" si="103"/>
        <v>1</v>
      </c>
      <c r="AW63" s="1202"/>
      <c r="AX63" s="807">
        <f t="shared" si="104"/>
        <v>1</v>
      </c>
      <c r="AY63" s="1202"/>
      <c r="AZ63" s="465" t="s">
        <v>1762</v>
      </c>
      <c r="BA63" s="841">
        <v>0</v>
      </c>
      <c r="BB63" s="806" t="str">
        <f t="shared" si="105"/>
        <v>Socializar y divulgar los roles y responsabilidades a todos los servidores públicos y partes interesadas</v>
      </c>
      <c r="BC63" s="1365"/>
      <c r="BD63" s="817">
        <v>0</v>
      </c>
      <c r="BE63" s="1205"/>
      <c r="BF63" s="807" t="e">
        <f t="shared" si="106"/>
        <v>#DIV/0!</v>
      </c>
      <c r="BG63" s="1202"/>
      <c r="BH63" s="807">
        <f t="shared" si="107"/>
        <v>1</v>
      </c>
      <c r="BI63" s="1202"/>
      <c r="BJ63" s="808" t="s">
        <v>1623</v>
      </c>
      <c r="BK63" s="841">
        <v>0</v>
      </c>
      <c r="BL63" s="806" t="str">
        <f t="shared" si="108"/>
        <v>Socializar y divulgar los roles y responsabilidades a todos los servidores públicos y partes interesadas</v>
      </c>
      <c r="BM63" s="1365"/>
      <c r="BN63" s="949">
        <v>0</v>
      </c>
      <c r="BO63" s="1205"/>
      <c r="BP63" s="807" t="e">
        <f t="shared" si="109"/>
        <v>#DIV/0!</v>
      </c>
      <c r="BQ63" s="1202"/>
      <c r="BR63" s="807">
        <f t="shared" si="110"/>
        <v>1</v>
      </c>
      <c r="BS63" s="1202"/>
      <c r="BT63" s="945" t="s">
        <v>1331</v>
      </c>
      <c r="BU63" s="841">
        <v>0</v>
      </c>
      <c r="BV63" s="806" t="str">
        <f t="shared" si="111"/>
        <v>Socializar y divulgar los roles y responsabilidades a todos los servidores públicos y partes interesadas</v>
      </c>
      <c r="BW63" s="1365"/>
      <c r="BX63" s="1132">
        <v>0</v>
      </c>
      <c r="BY63" s="1367"/>
      <c r="BZ63" s="805" t="e">
        <f t="shared" si="112"/>
        <v>#DIV/0!</v>
      </c>
      <c r="CA63" s="1199"/>
      <c r="CB63" s="805">
        <f t="shared" si="113"/>
        <v>1</v>
      </c>
      <c r="CC63" s="1199"/>
      <c r="CD63" s="682" t="s">
        <v>1331</v>
      </c>
      <c r="CE63" s="631">
        <f t="shared" si="114"/>
        <v>1</v>
      </c>
      <c r="CF63" s="1263"/>
      <c r="CG63" s="631" t="str">
        <f t="shared" si="115"/>
        <v>No Prog ni Ejec</v>
      </c>
      <c r="CH63" s="1263"/>
      <c r="CI63" s="631" t="str">
        <f t="shared" si="116"/>
        <v>No Prog ni Ejec</v>
      </c>
      <c r="CJ63" s="1263"/>
      <c r="CK63" s="631" t="str">
        <f t="shared" si="117"/>
        <v>No Prog ni Ejec</v>
      </c>
      <c r="CL63" s="1262"/>
      <c r="CM63" s="127">
        <f t="shared" si="6"/>
        <v>0</v>
      </c>
      <c r="CU63" s="69">
        <v>4</v>
      </c>
    </row>
    <row r="64" spans="1:106" s="69" customFormat="1" ht="99" customHeight="1" x14ac:dyDescent="0.2">
      <c r="A64" s="684">
        <v>11700</v>
      </c>
      <c r="B64" s="627" t="s">
        <v>14</v>
      </c>
      <c r="C64" s="645" t="s">
        <v>505</v>
      </c>
      <c r="D64" s="645"/>
      <c r="E64" s="645"/>
      <c r="F64" s="645" t="s">
        <v>1017</v>
      </c>
      <c r="G64" s="645"/>
      <c r="H64" s="645"/>
      <c r="I64" s="645" t="s">
        <v>1017</v>
      </c>
      <c r="J64" s="645"/>
      <c r="K64" s="645"/>
      <c r="L64" s="645" t="s">
        <v>1017</v>
      </c>
      <c r="M64" s="645"/>
      <c r="N64" s="645"/>
      <c r="O64" s="645"/>
      <c r="P64" s="645"/>
      <c r="Q64" s="627" t="s">
        <v>204</v>
      </c>
      <c r="R64" s="627" t="s">
        <v>204</v>
      </c>
      <c r="S64" s="629" t="s">
        <v>238</v>
      </c>
      <c r="T64" s="627" t="s">
        <v>94</v>
      </c>
      <c r="U64" s="627" t="s">
        <v>204</v>
      </c>
      <c r="V64" s="627" t="s">
        <v>204</v>
      </c>
      <c r="W64" s="629" t="s">
        <v>738</v>
      </c>
      <c r="X64" s="627" t="s">
        <v>690</v>
      </c>
      <c r="Y64" s="641" t="s">
        <v>390</v>
      </c>
      <c r="Z64" s="844">
        <v>1</v>
      </c>
      <c r="AA64" s="814" t="s">
        <v>716</v>
      </c>
      <c r="AB64" s="806" t="s">
        <v>689</v>
      </c>
      <c r="AC64" s="1365"/>
      <c r="AD64" s="811">
        <v>1</v>
      </c>
      <c r="AE64" s="806" t="s">
        <v>16</v>
      </c>
      <c r="AF64" s="806" t="s">
        <v>21</v>
      </c>
      <c r="AG64" s="806" t="s">
        <v>204</v>
      </c>
      <c r="AH64" s="806" t="s">
        <v>633</v>
      </c>
      <c r="AI64" s="806" t="s">
        <v>77</v>
      </c>
      <c r="AJ64" s="806" t="s">
        <v>1287</v>
      </c>
      <c r="AK64" s="806" t="s">
        <v>700</v>
      </c>
      <c r="AL64" s="806" t="s">
        <v>43</v>
      </c>
      <c r="AM64" s="844">
        <v>1</v>
      </c>
      <c r="AN64" s="806" t="str">
        <f t="shared" si="101"/>
        <v xml:space="preserve">Realizar Rendición de Cuentas  del Sistema de Seguridad y Salud en el Trabajo a todos los niveles de la Entidad </v>
      </c>
      <c r="AO64" s="1207"/>
      <c r="AP64" s="836" t="s">
        <v>46</v>
      </c>
      <c r="AQ64" s="841">
        <v>0</v>
      </c>
      <c r="AR64" s="806" t="str">
        <f t="shared" si="102"/>
        <v xml:space="preserve">Realizar Rendición de Cuentas  del Sistema de Seguridad y Salud en el Trabajo a todos los niveles de la Entidad </v>
      </c>
      <c r="AS64" s="1365"/>
      <c r="AT64" s="814">
        <v>0</v>
      </c>
      <c r="AU64" s="1205"/>
      <c r="AV64" s="807" t="e">
        <f t="shared" si="103"/>
        <v>#DIV/0!</v>
      </c>
      <c r="AW64" s="1202"/>
      <c r="AX64" s="807">
        <f t="shared" si="104"/>
        <v>0</v>
      </c>
      <c r="AY64" s="1202"/>
      <c r="AZ64" s="492" t="s">
        <v>1331</v>
      </c>
      <c r="BA64" s="841">
        <v>0</v>
      </c>
      <c r="BB64" s="806" t="str">
        <f t="shared" si="105"/>
        <v xml:space="preserve">Realizar Rendición de Cuentas  del Sistema de Seguridad y Salud en el Trabajo a todos los niveles de la Entidad </v>
      </c>
      <c r="BC64" s="1365"/>
      <c r="BD64" s="817">
        <v>0</v>
      </c>
      <c r="BE64" s="1205"/>
      <c r="BF64" s="807" t="e">
        <f t="shared" si="106"/>
        <v>#DIV/0!</v>
      </c>
      <c r="BG64" s="1202"/>
      <c r="BH64" s="807">
        <f t="shared" si="107"/>
        <v>0</v>
      </c>
      <c r="BI64" s="1202"/>
      <c r="BJ64" s="809" t="s">
        <v>1331</v>
      </c>
      <c r="BK64" s="841">
        <v>0</v>
      </c>
      <c r="BL64" s="806" t="str">
        <f t="shared" si="108"/>
        <v xml:space="preserve">Realizar Rendición de Cuentas  del Sistema de Seguridad y Salud en el Trabajo a todos los niveles de la Entidad </v>
      </c>
      <c r="BM64" s="1365"/>
      <c r="BN64" s="949">
        <v>0</v>
      </c>
      <c r="BO64" s="1205"/>
      <c r="BP64" s="807" t="e">
        <f t="shared" si="109"/>
        <v>#DIV/0!</v>
      </c>
      <c r="BQ64" s="1202"/>
      <c r="BR64" s="807">
        <f t="shared" si="110"/>
        <v>0</v>
      </c>
      <c r="BS64" s="1202"/>
      <c r="BT64" s="945" t="s">
        <v>1331</v>
      </c>
      <c r="BU64" s="841">
        <v>1</v>
      </c>
      <c r="BV64" s="806" t="str">
        <f t="shared" si="111"/>
        <v xml:space="preserve">Realizar Rendición de Cuentas  del Sistema de Seguridad y Salud en el Trabajo a todos los niveles de la Entidad </v>
      </c>
      <c r="BW64" s="1365"/>
      <c r="BX64" s="1132">
        <v>1</v>
      </c>
      <c r="BY64" s="1367"/>
      <c r="BZ64" s="805">
        <f t="shared" si="112"/>
        <v>1</v>
      </c>
      <c r="CA64" s="1199"/>
      <c r="CB64" s="805">
        <f t="shared" si="113"/>
        <v>1</v>
      </c>
      <c r="CC64" s="1199"/>
      <c r="CD64" s="682" t="s">
        <v>2048</v>
      </c>
      <c r="CE64" s="631" t="str">
        <f t="shared" si="114"/>
        <v>No Prog ni Ejec</v>
      </c>
      <c r="CF64" s="1263"/>
      <c r="CG64" s="631" t="str">
        <f t="shared" si="115"/>
        <v>No Prog ni Ejec</v>
      </c>
      <c r="CH64" s="1263"/>
      <c r="CI64" s="631" t="str">
        <f t="shared" si="116"/>
        <v>No Prog ni Ejec</v>
      </c>
      <c r="CJ64" s="1263"/>
      <c r="CK64" s="631">
        <f t="shared" si="117"/>
        <v>1</v>
      </c>
      <c r="CL64" s="1262"/>
      <c r="CM64" s="127">
        <f t="shared" si="6"/>
        <v>0</v>
      </c>
      <c r="CY64" s="69">
        <v>8</v>
      </c>
      <c r="DB64" s="69">
        <v>11</v>
      </c>
    </row>
    <row r="65" spans="1:107" s="570" customFormat="1" ht="103.5" hidden="1" customHeight="1" x14ac:dyDescent="0.2">
      <c r="A65" s="713">
        <v>11700</v>
      </c>
      <c r="B65" s="623" t="s">
        <v>14</v>
      </c>
      <c r="C65" s="562" t="s">
        <v>669</v>
      </c>
      <c r="D65" s="645"/>
      <c r="E65" s="645"/>
      <c r="F65" s="645" t="s">
        <v>1017</v>
      </c>
      <c r="G65" s="645" t="s">
        <v>1017</v>
      </c>
      <c r="H65" s="645"/>
      <c r="I65" s="645" t="s">
        <v>1017</v>
      </c>
      <c r="J65" s="645"/>
      <c r="K65" s="645"/>
      <c r="L65" s="645" t="s">
        <v>1017</v>
      </c>
      <c r="M65" s="645"/>
      <c r="N65" s="645"/>
      <c r="O65" s="645"/>
      <c r="P65" s="645"/>
      <c r="Q65" s="627" t="s">
        <v>204</v>
      </c>
      <c r="R65" s="627" t="s">
        <v>204</v>
      </c>
      <c r="S65" s="629" t="s">
        <v>238</v>
      </c>
      <c r="T65" s="627" t="s">
        <v>94</v>
      </c>
      <c r="U65" s="627" t="s">
        <v>204</v>
      </c>
      <c r="V65" s="627" t="s">
        <v>204</v>
      </c>
      <c r="W65" s="628" t="s">
        <v>739</v>
      </c>
      <c r="X65" s="623" t="s">
        <v>691</v>
      </c>
      <c r="Y65" s="564" t="s">
        <v>390</v>
      </c>
      <c r="Z65" s="585">
        <v>3</v>
      </c>
      <c r="AA65" s="834" t="s">
        <v>717</v>
      </c>
      <c r="AB65" s="829" t="s">
        <v>684</v>
      </c>
      <c r="AC65" s="1366"/>
      <c r="AD65" s="811">
        <v>1</v>
      </c>
      <c r="AE65" s="806" t="s">
        <v>16</v>
      </c>
      <c r="AF65" s="806" t="s">
        <v>21</v>
      </c>
      <c r="AG65" s="806" t="s">
        <v>204</v>
      </c>
      <c r="AH65" s="806" t="s">
        <v>633</v>
      </c>
      <c r="AI65" s="806" t="s">
        <v>77</v>
      </c>
      <c r="AJ65" s="806" t="s">
        <v>1287</v>
      </c>
      <c r="AK65" s="829" t="s">
        <v>700</v>
      </c>
      <c r="AL65" s="806" t="s">
        <v>43</v>
      </c>
      <c r="AM65" s="585">
        <v>3</v>
      </c>
      <c r="AN65" s="829" t="str">
        <f t="shared" si="101"/>
        <v>Divulgar el Plan de Emergencias</v>
      </c>
      <c r="AO65" s="1353"/>
      <c r="AP65" s="836" t="s">
        <v>46</v>
      </c>
      <c r="AQ65" s="862">
        <v>1</v>
      </c>
      <c r="AR65" s="829" t="str">
        <f t="shared" si="102"/>
        <v>Divulgar el Plan de Emergencias</v>
      </c>
      <c r="AS65" s="1366"/>
      <c r="AT65" s="834">
        <v>0</v>
      </c>
      <c r="AU65" s="1349"/>
      <c r="AV65" s="832">
        <f t="shared" si="103"/>
        <v>0</v>
      </c>
      <c r="AW65" s="1343"/>
      <c r="AX65" s="832">
        <f t="shared" si="104"/>
        <v>0</v>
      </c>
      <c r="AY65" s="1343"/>
      <c r="AZ65" s="586"/>
      <c r="BA65" s="862">
        <v>1</v>
      </c>
      <c r="BB65" s="829" t="str">
        <f t="shared" si="105"/>
        <v>Divulgar el Plan de Emergencias</v>
      </c>
      <c r="BC65" s="1366"/>
      <c r="BD65" s="564">
        <v>0</v>
      </c>
      <c r="BE65" s="1349"/>
      <c r="BF65" s="832">
        <f t="shared" si="106"/>
        <v>0</v>
      </c>
      <c r="BG65" s="1343"/>
      <c r="BH65" s="832">
        <f t="shared" si="107"/>
        <v>0</v>
      </c>
      <c r="BI65" s="1343"/>
      <c r="BJ65" s="731" t="s">
        <v>1624</v>
      </c>
      <c r="BK65" s="862">
        <v>0</v>
      </c>
      <c r="BL65" s="829" t="str">
        <f t="shared" si="108"/>
        <v>Divulgar el Plan de Emergencias</v>
      </c>
      <c r="BM65" s="1366"/>
      <c r="BN65" s="959">
        <v>0</v>
      </c>
      <c r="BO65" s="1349"/>
      <c r="BP65" s="832" t="e">
        <f t="shared" si="109"/>
        <v>#DIV/0!</v>
      </c>
      <c r="BQ65" s="1343"/>
      <c r="BR65" s="832">
        <f t="shared" si="110"/>
        <v>0</v>
      </c>
      <c r="BS65" s="1343"/>
      <c r="BT65" s="961" t="s">
        <v>1885</v>
      </c>
      <c r="BU65" s="862">
        <v>1</v>
      </c>
      <c r="BV65" s="829" t="str">
        <f t="shared" si="111"/>
        <v>Divulgar el Plan de Emergencias</v>
      </c>
      <c r="BW65" s="1366"/>
      <c r="BX65" s="1135">
        <v>0</v>
      </c>
      <c r="BY65" s="1368"/>
      <c r="BZ65" s="839">
        <f t="shared" si="112"/>
        <v>0</v>
      </c>
      <c r="CA65" s="1363"/>
      <c r="CB65" s="839">
        <f t="shared" si="113"/>
        <v>0</v>
      </c>
      <c r="CC65" s="1363"/>
      <c r="CD65" s="1079" t="s">
        <v>2049</v>
      </c>
      <c r="CE65" s="633">
        <f t="shared" si="114"/>
        <v>0</v>
      </c>
      <c r="CF65" s="1350"/>
      <c r="CG65" s="633">
        <f t="shared" si="115"/>
        <v>0</v>
      </c>
      <c r="CH65" s="1350"/>
      <c r="CI65" s="633" t="str">
        <f t="shared" si="116"/>
        <v>No Prog ni Ejec</v>
      </c>
      <c r="CJ65" s="1350"/>
      <c r="CK65" s="633">
        <f t="shared" si="117"/>
        <v>0</v>
      </c>
      <c r="CL65" s="1362"/>
      <c r="CM65" s="569">
        <f t="shared" si="6"/>
        <v>0</v>
      </c>
      <c r="CR65" s="69"/>
      <c r="CS65" s="69"/>
      <c r="CT65" s="69"/>
      <c r="CU65" s="69">
        <v>4</v>
      </c>
      <c r="CV65" s="69"/>
      <c r="CW65" s="69"/>
      <c r="CX65" s="69"/>
      <c r="CY65" s="69"/>
      <c r="CZ65" s="69"/>
      <c r="DA65" s="69"/>
      <c r="DB65" s="69"/>
      <c r="DC65" s="69"/>
    </row>
    <row r="66" spans="1:107" s="570" customFormat="1" ht="96" hidden="1" customHeight="1" x14ac:dyDescent="0.2">
      <c r="A66" s="713">
        <v>11700</v>
      </c>
      <c r="B66" s="623" t="s">
        <v>14</v>
      </c>
      <c r="C66" s="562" t="s">
        <v>669</v>
      </c>
      <c r="D66" s="645"/>
      <c r="E66" s="645"/>
      <c r="F66" s="645" t="s">
        <v>1017</v>
      </c>
      <c r="G66" s="645" t="s">
        <v>1017</v>
      </c>
      <c r="H66" s="645"/>
      <c r="I66" s="645" t="s">
        <v>1017</v>
      </c>
      <c r="J66" s="645"/>
      <c r="K66" s="645"/>
      <c r="L66" s="645" t="s">
        <v>1017</v>
      </c>
      <c r="M66" s="645"/>
      <c r="N66" s="645"/>
      <c r="O66" s="645"/>
      <c r="P66" s="645"/>
      <c r="Q66" s="627" t="s">
        <v>204</v>
      </c>
      <c r="R66" s="627" t="s">
        <v>204</v>
      </c>
      <c r="S66" s="629" t="s">
        <v>238</v>
      </c>
      <c r="T66" s="627" t="s">
        <v>94</v>
      </c>
      <c r="U66" s="627" t="s">
        <v>204</v>
      </c>
      <c r="V66" s="627" t="s">
        <v>204</v>
      </c>
      <c r="W66" s="628" t="s">
        <v>740</v>
      </c>
      <c r="X66" s="623" t="s">
        <v>694</v>
      </c>
      <c r="Y66" s="564" t="s">
        <v>390</v>
      </c>
      <c r="Z66" s="585">
        <v>1</v>
      </c>
      <c r="AA66" s="834" t="s">
        <v>718</v>
      </c>
      <c r="AB66" s="829" t="s">
        <v>686</v>
      </c>
      <c r="AC66" s="1366"/>
      <c r="AD66" s="811">
        <v>1</v>
      </c>
      <c r="AE66" s="806" t="s">
        <v>16</v>
      </c>
      <c r="AF66" s="806" t="s">
        <v>21</v>
      </c>
      <c r="AG66" s="806" t="s">
        <v>204</v>
      </c>
      <c r="AH66" s="806" t="s">
        <v>633</v>
      </c>
      <c r="AI66" s="806" t="s">
        <v>77</v>
      </c>
      <c r="AJ66" s="806" t="s">
        <v>1287</v>
      </c>
      <c r="AK66" s="829" t="s">
        <v>700</v>
      </c>
      <c r="AL66" s="806" t="s">
        <v>43</v>
      </c>
      <c r="AM66" s="585">
        <v>1</v>
      </c>
      <c r="AN66" s="829" t="str">
        <f t="shared" si="101"/>
        <v>Divulgar el programa de inspecciones</v>
      </c>
      <c r="AO66" s="1353"/>
      <c r="AP66" s="836" t="s">
        <v>46</v>
      </c>
      <c r="AQ66" s="862">
        <v>0</v>
      </c>
      <c r="AR66" s="829" t="str">
        <f t="shared" si="102"/>
        <v>Divulgar el programa de inspecciones</v>
      </c>
      <c r="AS66" s="1366"/>
      <c r="AT66" s="834">
        <v>0</v>
      </c>
      <c r="AU66" s="1349"/>
      <c r="AV66" s="832" t="e">
        <f t="shared" si="103"/>
        <v>#DIV/0!</v>
      </c>
      <c r="AW66" s="1343"/>
      <c r="AX66" s="832">
        <f t="shared" si="104"/>
        <v>0</v>
      </c>
      <c r="AY66" s="1343"/>
      <c r="AZ66" s="586" t="s">
        <v>1331</v>
      </c>
      <c r="BA66" s="862">
        <v>1</v>
      </c>
      <c r="BB66" s="829" t="str">
        <f t="shared" si="105"/>
        <v>Divulgar el programa de inspecciones</v>
      </c>
      <c r="BC66" s="1366"/>
      <c r="BD66" s="564">
        <v>0</v>
      </c>
      <c r="BE66" s="1349"/>
      <c r="BF66" s="832">
        <f t="shared" si="106"/>
        <v>0</v>
      </c>
      <c r="BG66" s="1343"/>
      <c r="BH66" s="832">
        <f t="shared" si="107"/>
        <v>0</v>
      </c>
      <c r="BI66" s="1343"/>
      <c r="BJ66" s="731" t="s">
        <v>1625</v>
      </c>
      <c r="BK66" s="862">
        <v>0</v>
      </c>
      <c r="BL66" s="829" t="str">
        <f t="shared" si="108"/>
        <v>Divulgar el programa de inspecciones</v>
      </c>
      <c r="BM66" s="1366"/>
      <c r="BN66" s="959">
        <v>0</v>
      </c>
      <c r="BO66" s="1349"/>
      <c r="BP66" s="832" t="e">
        <f t="shared" si="109"/>
        <v>#DIV/0!</v>
      </c>
      <c r="BQ66" s="1343"/>
      <c r="BR66" s="832">
        <f t="shared" si="110"/>
        <v>0</v>
      </c>
      <c r="BS66" s="1343"/>
      <c r="BT66" s="961" t="s">
        <v>1886</v>
      </c>
      <c r="BU66" s="862">
        <v>0</v>
      </c>
      <c r="BV66" s="829" t="str">
        <f t="shared" si="111"/>
        <v>Divulgar el programa de inspecciones</v>
      </c>
      <c r="BW66" s="1366"/>
      <c r="BX66" s="1135">
        <v>0</v>
      </c>
      <c r="BY66" s="1368"/>
      <c r="BZ66" s="839" t="e">
        <f t="shared" si="112"/>
        <v>#DIV/0!</v>
      </c>
      <c r="CA66" s="1363"/>
      <c r="CB66" s="839">
        <f t="shared" si="113"/>
        <v>0</v>
      </c>
      <c r="CC66" s="1363"/>
      <c r="CD66" s="1079" t="s">
        <v>2050</v>
      </c>
      <c r="CE66" s="633" t="str">
        <f t="shared" si="114"/>
        <v>No Prog ni Ejec</v>
      </c>
      <c r="CF66" s="1350"/>
      <c r="CG66" s="633">
        <f t="shared" si="115"/>
        <v>0</v>
      </c>
      <c r="CH66" s="1350"/>
      <c r="CI66" s="633" t="str">
        <f t="shared" si="116"/>
        <v>No Prog ni Ejec</v>
      </c>
      <c r="CJ66" s="1350"/>
      <c r="CK66" s="633" t="str">
        <f t="shared" si="117"/>
        <v>No Prog ni Ejec</v>
      </c>
      <c r="CL66" s="1362"/>
      <c r="CM66" s="569">
        <f t="shared" si="6"/>
        <v>0</v>
      </c>
      <c r="CR66" s="69"/>
      <c r="CS66" s="69"/>
      <c r="CT66" s="69"/>
      <c r="CU66" s="69">
        <v>4</v>
      </c>
      <c r="CV66" s="69"/>
      <c r="CW66" s="69"/>
      <c r="CX66" s="69"/>
      <c r="CY66" s="69"/>
      <c r="CZ66" s="69"/>
      <c r="DA66" s="69"/>
      <c r="DB66" s="69"/>
      <c r="DC66" s="69"/>
    </row>
    <row r="67" spans="1:107" s="570" customFormat="1" ht="89.25" hidden="1" x14ac:dyDescent="0.2">
      <c r="A67" s="713">
        <v>11700</v>
      </c>
      <c r="B67" s="623" t="s">
        <v>14</v>
      </c>
      <c r="C67" s="562" t="s">
        <v>505</v>
      </c>
      <c r="D67" s="645"/>
      <c r="E67" s="645"/>
      <c r="F67" s="645" t="s">
        <v>1017</v>
      </c>
      <c r="G67" s="645"/>
      <c r="H67" s="645"/>
      <c r="I67" s="645" t="s">
        <v>1017</v>
      </c>
      <c r="J67" s="645"/>
      <c r="K67" s="645"/>
      <c r="L67" s="645" t="s">
        <v>1017</v>
      </c>
      <c r="M67" s="645"/>
      <c r="N67" s="645"/>
      <c r="O67" s="645"/>
      <c r="P67" s="645"/>
      <c r="Q67" s="627" t="s">
        <v>204</v>
      </c>
      <c r="R67" s="627" t="s">
        <v>204</v>
      </c>
      <c r="S67" s="629" t="s">
        <v>238</v>
      </c>
      <c r="T67" s="627" t="s">
        <v>94</v>
      </c>
      <c r="U67" s="627" t="s">
        <v>204</v>
      </c>
      <c r="V67" s="627" t="s">
        <v>204</v>
      </c>
      <c r="W67" s="628" t="s">
        <v>741</v>
      </c>
      <c r="X67" s="623" t="s">
        <v>695</v>
      </c>
      <c r="Y67" s="564" t="s">
        <v>390</v>
      </c>
      <c r="Z67" s="585">
        <v>2</v>
      </c>
      <c r="AA67" s="834" t="s">
        <v>719</v>
      </c>
      <c r="AB67" s="829" t="s">
        <v>685</v>
      </c>
      <c r="AC67" s="1366"/>
      <c r="AD67" s="811">
        <v>1</v>
      </c>
      <c r="AE67" s="806" t="s">
        <v>16</v>
      </c>
      <c r="AF67" s="806" t="s">
        <v>21</v>
      </c>
      <c r="AG67" s="806" t="s">
        <v>204</v>
      </c>
      <c r="AH67" s="806" t="s">
        <v>633</v>
      </c>
      <c r="AI67" s="806" t="s">
        <v>77</v>
      </c>
      <c r="AJ67" s="806" t="s">
        <v>1287</v>
      </c>
      <c r="AK67" s="829" t="s">
        <v>700</v>
      </c>
      <c r="AL67" s="806" t="s">
        <v>43</v>
      </c>
      <c r="AM67" s="585">
        <v>2</v>
      </c>
      <c r="AN67" s="829" t="str">
        <f t="shared" si="101"/>
        <v>Divulgar el programa de mantenimiento</v>
      </c>
      <c r="AO67" s="1353"/>
      <c r="AP67" s="836" t="s">
        <v>46</v>
      </c>
      <c r="AQ67" s="862">
        <v>0</v>
      </c>
      <c r="AR67" s="829" t="str">
        <f t="shared" si="102"/>
        <v>Divulgar el programa de mantenimiento</v>
      </c>
      <c r="AS67" s="1366"/>
      <c r="AT67" s="834">
        <v>0</v>
      </c>
      <c r="AU67" s="1349"/>
      <c r="AV67" s="832" t="e">
        <f t="shared" si="103"/>
        <v>#DIV/0!</v>
      </c>
      <c r="AW67" s="1343"/>
      <c r="AX67" s="832">
        <f t="shared" si="104"/>
        <v>0</v>
      </c>
      <c r="AY67" s="1343"/>
      <c r="AZ67" s="586" t="s">
        <v>1331</v>
      </c>
      <c r="BA67" s="862">
        <v>1</v>
      </c>
      <c r="BB67" s="829" t="str">
        <f t="shared" si="105"/>
        <v>Divulgar el programa de mantenimiento</v>
      </c>
      <c r="BC67" s="1366"/>
      <c r="BD67" s="564">
        <v>0</v>
      </c>
      <c r="BE67" s="1349"/>
      <c r="BF67" s="832">
        <f t="shared" si="106"/>
        <v>0</v>
      </c>
      <c r="BG67" s="1343"/>
      <c r="BH67" s="832">
        <f t="shared" si="107"/>
        <v>0</v>
      </c>
      <c r="BI67" s="1343"/>
      <c r="BJ67" s="731" t="s">
        <v>1625</v>
      </c>
      <c r="BK67" s="862">
        <v>0</v>
      </c>
      <c r="BL67" s="829" t="str">
        <f t="shared" si="108"/>
        <v>Divulgar el programa de mantenimiento</v>
      </c>
      <c r="BM67" s="1366"/>
      <c r="BN67" s="959">
        <v>0</v>
      </c>
      <c r="BO67" s="1349"/>
      <c r="BP67" s="832" t="e">
        <f t="shared" si="109"/>
        <v>#DIV/0!</v>
      </c>
      <c r="BQ67" s="1343"/>
      <c r="BR67" s="832">
        <f t="shared" si="110"/>
        <v>0</v>
      </c>
      <c r="BS67" s="1343"/>
      <c r="BT67" s="961" t="s">
        <v>1887</v>
      </c>
      <c r="BU67" s="862">
        <v>1</v>
      </c>
      <c r="BV67" s="829" t="str">
        <f t="shared" si="111"/>
        <v>Divulgar el programa de mantenimiento</v>
      </c>
      <c r="BW67" s="1366"/>
      <c r="BX67" s="1135">
        <v>0</v>
      </c>
      <c r="BY67" s="1368"/>
      <c r="BZ67" s="839">
        <f t="shared" si="112"/>
        <v>0</v>
      </c>
      <c r="CA67" s="1363"/>
      <c r="CB67" s="839">
        <f t="shared" si="113"/>
        <v>0</v>
      </c>
      <c r="CC67" s="1363"/>
      <c r="CD67" s="1079" t="s">
        <v>2050</v>
      </c>
      <c r="CE67" s="633" t="str">
        <f t="shared" si="114"/>
        <v>No Prog ni Ejec</v>
      </c>
      <c r="CF67" s="1350"/>
      <c r="CG67" s="633">
        <f t="shared" si="115"/>
        <v>0</v>
      </c>
      <c r="CH67" s="1350"/>
      <c r="CI67" s="633" t="str">
        <f t="shared" si="116"/>
        <v>No Prog ni Ejec</v>
      </c>
      <c r="CJ67" s="1350"/>
      <c r="CK67" s="633">
        <f t="shared" si="117"/>
        <v>0</v>
      </c>
      <c r="CL67" s="1362"/>
      <c r="CM67" s="569">
        <f t="shared" si="6"/>
        <v>0</v>
      </c>
      <c r="CR67" s="69"/>
      <c r="CS67" s="69"/>
      <c r="CT67" s="69"/>
      <c r="CU67" s="69"/>
      <c r="CV67" s="69"/>
      <c r="CW67" s="69"/>
      <c r="CX67" s="69"/>
      <c r="CY67" s="69">
        <v>8</v>
      </c>
      <c r="CZ67" s="69"/>
      <c r="DA67" s="69"/>
      <c r="DB67" s="69">
        <v>11</v>
      </c>
      <c r="DC67" s="69"/>
    </row>
    <row r="68" spans="1:107" s="69" customFormat="1" ht="178.5" x14ac:dyDescent="0.2">
      <c r="A68" s="684">
        <v>11700</v>
      </c>
      <c r="B68" s="627" t="s">
        <v>14</v>
      </c>
      <c r="C68" s="645" t="s">
        <v>505</v>
      </c>
      <c r="D68" s="645"/>
      <c r="E68" s="645"/>
      <c r="F68" s="645" t="s">
        <v>1017</v>
      </c>
      <c r="G68" s="645"/>
      <c r="H68" s="645"/>
      <c r="I68" s="645" t="s">
        <v>1017</v>
      </c>
      <c r="J68" s="645"/>
      <c r="K68" s="645"/>
      <c r="L68" s="645" t="s">
        <v>1017</v>
      </c>
      <c r="M68" s="645"/>
      <c r="N68" s="645"/>
      <c r="O68" s="645"/>
      <c r="P68" s="645"/>
      <c r="Q68" s="627" t="s">
        <v>204</v>
      </c>
      <c r="R68" s="627" t="s">
        <v>204</v>
      </c>
      <c r="S68" s="629" t="s">
        <v>238</v>
      </c>
      <c r="T68" s="627" t="s">
        <v>94</v>
      </c>
      <c r="U68" s="627" t="s">
        <v>204</v>
      </c>
      <c r="V68" s="627" t="s">
        <v>204</v>
      </c>
      <c r="W68" s="629" t="s">
        <v>742</v>
      </c>
      <c r="X68" s="627" t="s">
        <v>696</v>
      </c>
      <c r="Y68" s="641" t="s">
        <v>169</v>
      </c>
      <c r="Z68" s="807">
        <v>1</v>
      </c>
      <c r="AA68" s="814" t="s">
        <v>720</v>
      </c>
      <c r="AB68" s="806" t="s">
        <v>697</v>
      </c>
      <c r="AC68" s="1365"/>
      <c r="AD68" s="811">
        <v>1</v>
      </c>
      <c r="AE68" s="806" t="s">
        <v>16</v>
      </c>
      <c r="AF68" s="806" t="s">
        <v>21</v>
      </c>
      <c r="AG68" s="806" t="s">
        <v>204</v>
      </c>
      <c r="AH68" s="806" t="s">
        <v>633</v>
      </c>
      <c r="AI68" s="806" t="s">
        <v>77</v>
      </c>
      <c r="AJ68" s="806" t="s">
        <v>1286</v>
      </c>
      <c r="AK68" s="806" t="s">
        <v>698</v>
      </c>
      <c r="AL68" s="806" t="s">
        <v>43</v>
      </c>
      <c r="AM68" s="811">
        <v>1</v>
      </c>
      <c r="AN68" s="806" t="str">
        <f t="shared" si="101"/>
        <v>Investigar los eventos de incidentes, accidentes de trabajo  y/o enfermedades laborales que se presenten</v>
      </c>
      <c r="AO68" s="1207"/>
      <c r="AP68" s="836" t="s">
        <v>46</v>
      </c>
      <c r="AQ68" s="811">
        <v>0.25</v>
      </c>
      <c r="AR68" s="806" t="str">
        <f t="shared" ref="AR68:AR76" si="118">+AN68</f>
        <v>Investigar los eventos de incidentes, accidentes de trabajo  y/o enfermedades laborales que se presenten</v>
      </c>
      <c r="AS68" s="1365"/>
      <c r="AT68" s="470">
        <v>0.25</v>
      </c>
      <c r="AU68" s="1369"/>
      <c r="AV68" s="807">
        <f t="shared" ref="AV68:AV76" si="119">+(AT68/AQ68)</f>
        <v>1</v>
      </c>
      <c r="AW68" s="1202"/>
      <c r="AX68" s="807">
        <f t="shared" ref="AX68:AX76" si="120">+(AT68/AM68)</f>
        <v>0.25</v>
      </c>
      <c r="AY68" s="1202"/>
      <c r="AZ68" s="465" t="s">
        <v>1763</v>
      </c>
      <c r="BA68" s="811">
        <v>0.25</v>
      </c>
      <c r="BB68" s="806" t="str">
        <f t="shared" ref="BB68:BB76" si="121">+AN68</f>
        <v>Investigar los eventos de incidentes, accidentes de trabajo  y/o enfermedades laborales que se presenten</v>
      </c>
      <c r="BC68" s="1365"/>
      <c r="BD68" s="824">
        <f>(2/2)*0.25</f>
        <v>0.25</v>
      </c>
      <c r="BE68" s="1205"/>
      <c r="BF68" s="807">
        <f t="shared" ref="BF68:BF76" si="122">+(BD68/BA68)</f>
        <v>1</v>
      </c>
      <c r="BG68" s="1202"/>
      <c r="BH68" s="807">
        <f t="shared" ref="BH68:BH76" si="123">+(BD68+AT68)/AM68</f>
        <v>0.5</v>
      </c>
      <c r="BI68" s="1202"/>
      <c r="BJ68" s="808" t="s">
        <v>1626</v>
      </c>
      <c r="BK68" s="811">
        <v>0.25</v>
      </c>
      <c r="BL68" s="806" t="str">
        <f t="shared" ref="BL68:BL76" si="124">+AN68</f>
        <v>Investigar los eventos de incidentes, accidentes de trabajo  y/o enfermedades laborales que se presenten</v>
      </c>
      <c r="BM68" s="1365"/>
      <c r="BN68" s="954">
        <f>(3/3)*0.25</f>
        <v>0.25</v>
      </c>
      <c r="BO68" s="1205"/>
      <c r="BP68" s="807">
        <f t="shared" ref="BP68:BP76" si="125">+(BN68/BK68)</f>
        <v>1</v>
      </c>
      <c r="BQ68" s="1202"/>
      <c r="BR68" s="807">
        <f t="shared" ref="BR68:BR76" si="126">+(BD68+AT68+BN68)/AM68</f>
        <v>0.75</v>
      </c>
      <c r="BS68" s="1202"/>
      <c r="BT68" s="948" t="s">
        <v>1888</v>
      </c>
      <c r="BU68" s="811">
        <v>0.25</v>
      </c>
      <c r="BV68" s="806" t="str">
        <f t="shared" ref="BV68:BV76" si="127">+AN68</f>
        <v>Investigar los eventos de incidentes, accidentes de trabajo  y/o enfermedades laborales que se presenten</v>
      </c>
      <c r="BW68" s="1365"/>
      <c r="BX68" s="1150" t="e">
        <f>0/0</f>
        <v>#DIV/0!</v>
      </c>
      <c r="BY68" s="1367"/>
      <c r="BZ68" s="805" t="e">
        <f t="shared" ref="BZ68:BZ76" si="128">+(BX68/BU68)</f>
        <v>#DIV/0!</v>
      </c>
      <c r="CA68" s="1199"/>
      <c r="CB68" s="805">
        <f>+(BD68+AT68+BN68)/AM68</f>
        <v>0.75</v>
      </c>
      <c r="CC68" s="1199"/>
      <c r="CD68" s="682" t="s">
        <v>2051</v>
      </c>
      <c r="CE68" s="631">
        <f t="shared" ref="CE68:CE76" si="129">IF(AND(AQ68=0,AT68=0),"No Prog ni Ejec",IF(AQ68=0,CONCATENATE("No Prog, Ejec=  ",AT68),AT68/AQ68))</f>
        <v>1</v>
      </c>
      <c r="CF68" s="1263"/>
      <c r="CG68" s="631">
        <f t="shared" ref="CG68:CG76" si="130">IF(AND(BA68=0,BD68=0),"No Prog ni Ejec",IF(BA68=0,CONCATENATE("No Prog, Ejec=  ",BD68),BD68/BA68))</f>
        <v>1</v>
      </c>
      <c r="CH68" s="1263"/>
      <c r="CI68" s="631">
        <f t="shared" ref="CI68:CI76" si="131">IF(AND(BK68=0,BN68=0),"No Prog ni Ejec",IF(BK68=0,CONCATENATE("No Prog, Ejec=  ",BN68),BN68/BK68))</f>
        <v>1</v>
      </c>
      <c r="CJ68" s="1263"/>
      <c r="CK68" s="631" t="e">
        <f t="shared" ref="CK68:CK76" si="132">IF(AND(BU68=0,BX68=0),"No Prog ni Ejec",IF(BU68=0,CONCATENATE("No Prog, Ejec=  ",BX68),BX68/BU68))</f>
        <v>#DIV/0!</v>
      </c>
      <c r="CL68" s="1262"/>
      <c r="CM68" s="127">
        <f t="shared" si="6"/>
        <v>0</v>
      </c>
      <c r="CY68" s="69">
        <v>8</v>
      </c>
      <c r="DB68" s="69">
        <v>11</v>
      </c>
    </row>
    <row r="69" spans="1:107" s="69" customFormat="1" ht="99.75" customHeight="1" x14ac:dyDescent="0.2">
      <c r="A69" s="684">
        <v>11700</v>
      </c>
      <c r="B69" s="627" t="s">
        <v>14</v>
      </c>
      <c r="C69" s="645" t="s">
        <v>505</v>
      </c>
      <c r="D69" s="645"/>
      <c r="E69" s="645"/>
      <c r="F69" s="645" t="s">
        <v>1017</v>
      </c>
      <c r="G69" s="645"/>
      <c r="H69" s="645"/>
      <c r="I69" s="645" t="s">
        <v>1017</v>
      </c>
      <c r="J69" s="645"/>
      <c r="K69" s="645"/>
      <c r="L69" s="645" t="s">
        <v>1017</v>
      </c>
      <c r="M69" s="645"/>
      <c r="N69" s="645"/>
      <c r="O69" s="645"/>
      <c r="P69" s="645"/>
      <c r="Q69" s="627" t="s">
        <v>204</v>
      </c>
      <c r="R69" s="627" t="s">
        <v>204</v>
      </c>
      <c r="S69" s="629" t="s">
        <v>238</v>
      </c>
      <c r="T69" s="627" t="s">
        <v>94</v>
      </c>
      <c r="U69" s="627" t="s">
        <v>204</v>
      </c>
      <c r="V69" s="627" t="s">
        <v>204</v>
      </c>
      <c r="W69" s="629" t="s">
        <v>743</v>
      </c>
      <c r="X69" s="627" t="s">
        <v>666</v>
      </c>
      <c r="Y69" s="641" t="s">
        <v>390</v>
      </c>
      <c r="Z69" s="844">
        <v>4</v>
      </c>
      <c r="AA69" s="814" t="s">
        <v>721</v>
      </c>
      <c r="AB69" s="806" t="s">
        <v>672</v>
      </c>
      <c r="AC69" s="1365"/>
      <c r="AD69" s="811">
        <v>1</v>
      </c>
      <c r="AE69" s="806" t="s">
        <v>16</v>
      </c>
      <c r="AF69" s="806" t="s">
        <v>21</v>
      </c>
      <c r="AG69" s="806" t="s">
        <v>204</v>
      </c>
      <c r="AH69" s="806" t="s">
        <v>633</v>
      </c>
      <c r="AI69" s="806" t="s">
        <v>77</v>
      </c>
      <c r="AJ69" s="806" t="s">
        <v>1286</v>
      </c>
      <c r="AK69" s="806" t="s">
        <v>700</v>
      </c>
      <c r="AL69" s="806" t="s">
        <v>43</v>
      </c>
      <c r="AM69" s="844">
        <v>4</v>
      </c>
      <c r="AN69" s="806" t="str">
        <f>+AB69</f>
        <v>Realizar Reuniones - Inspecciones - Acompañamiento y seguimiento en el desarrollo del Comité paritario de seguridad y Salud en el trabajo</v>
      </c>
      <c r="AO69" s="1207"/>
      <c r="AP69" s="836" t="s">
        <v>46</v>
      </c>
      <c r="AQ69" s="841">
        <v>1</v>
      </c>
      <c r="AR69" s="806" t="str">
        <f t="shared" si="118"/>
        <v>Realizar Reuniones - Inspecciones - Acompañamiento y seguimiento en el desarrollo del Comité paritario de seguridad y Salud en el trabajo</v>
      </c>
      <c r="AS69" s="1365"/>
      <c r="AT69" s="466">
        <v>1</v>
      </c>
      <c r="AU69" s="1369"/>
      <c r="AV69" s="807">
        <f t="shared" si="119"/>
        <v>1</v>
      </c>
      <c r="AW69" s="1202"/>
      <c r="AX69" s="807">
        <f t="shared" si="120"/>
        <v>0.25</v>
      </c>
      <c r="AY69" s="1202"/>
      <c r="AZ69" s="465" t="s">
        <v>1615</v>
      </c>
      <c r="BA69" s="841">
        <v>1</v>
      </c>
      <c r="BB69" s="806" t="str">
        <f t="shared" si="121"/>
        <v>Realizar Reuniones - Inspecciones - Acompañamiento y seguimiento en el desarrollo del Comité paritario de seguridad y Salud en el trabajo</v>
      </c>
      <c r="BC69" s="1365"/>
      <c r="BD69" s="817">
        <v>1</v>
      </c>
      <c r="BE69" s="1205"/>
      <c r="BF69" s="807">
        <f t="shared" si="122"/>
        <v>1</v>
      </c>
      <c r="BG69" s="1202"/>
      <c r="BH69" s="807">
        <f t="shared" si="123"/>
        <v>0.5</v>
      </c>
      <c r="BI69" s="1202"/>
      <c r="BJ69" s="808" t="s">
        <v>1627</v>
      </c>
      <c r="BK69" s="841">
        <v>1</v>
      </c>
      <c r="BL69" s="806" t="str">
        <f t="shared" si="124"/>
        <v>Realizar Reuniones - Inspecciones - Acompañamiento y seguimiento en el desarrollo del Comité paritario de seguridad y Salud en el trabajo</v>
      </c>
      <c r="BM69" s="1365"/>
      <c r="BN69" s="949">
        <v>1</v>
      </c>
      <c r="BO69" s="1205"/>
      <c r="BP69" s="807">
        <f t="shared" si="125"/>
        <v>1</v>
      </c>
      <c r="BQ69" s="1202"/>
      <c r="BR69" s="807">
        <f t="shared" si="126"/>
        <v>0.75</v>
      </c>
      <c r="BS69" s="1202"/>
      <c r="BT69" s="948" t="s">
        <v>1889</v>
      </c>
      <c r="BU69" s="841">
        <v>1</v>
      </c>
      <c r="BV69" s="806" t="str">
        <f t="shared" si="127"/>
        <v>Realizar Reuniones - Inspecciones - Acompañamiento y seguimiento en el desarrollo del Comité paritario de seguridad y Salud en el trabajo</v>
      </c>
      <c r="BW69" s="1365"/>
      <c r="BX69" s="1132">
        <v>1</v>
      </c>
      <c r="BY69" s="1367"/>
      <c r="BZ69" s="805">
        <f t="shared" si="128"/>
        <v>1</v>
      </c>
      <c r="CA69" s="1199"/>
      <c r="CB69" s="805">
        <f t="shared" ref="CB69:CB76" si="133">+(BD69+AT69+BN69+BX69)/AM69</f>
        <v>1</v>
      </c>
      <c r="CC69" s="1199"/>
      <c r="CD69" s="682" t="s">
        <v>2052</v>
      </c>
      <c r="CE69" s="631">
        <f t="shared" si="129"/>
        <v>1</v>
      </c>
      <c r="CF69" s="1263"/>
      <c r="CG69" s="631">
        <f t="shared" si="130"/>
        <v>1</v>
      </c>
      <c r="CH69" s="1263"/>
      <c r="CI69" s="631">
        <f t="shared" si="131"/>
        <v>1</v>
      </c>
      <c r="CJ69" s="1263"/>
      <c r="CK69" s="631">
        <f t="shared" si="132"/>
        <v>1</v>
      </c>
      <c r="CL69" s="1262"/>
      <c r="CM69" s="127">
        <f t="shared" si="6"/>
        <v>0</v>
      </c>
      <c r="CY69" s="69">
        <v>8</v>
      </c>
      <c r="DB69" s="69">
        <v>11</v>
      </c>
    </row>
    <row r="70" spans="1:107" s="570" customFormat="1" ht="101.25" hidden="1" customHeight="1" x14ac:dyDescent="0.2">
      <c r="A70" s="713">
        <v>11700</v>
      </c>
      <c r="B70" s="623" t="s">
        <v>14</v>
      </c>
      <c r="C70" s="562" t="s">
        <v>505</v>
      </c>
      <c r="D70" s="645"/>
      <c r="E70" s="645"/>
      <c r="F70" s="645" t="s">
        <v>1017</v>
      </c>
      <c r="G70" s="645"/>
      <c r="H70" s="645"/>
      <c r="I70" s="645" t="s">
        <v>1017</v>
      </c>
      <c r="J70" s="645"/>
      <c r="K70" s="645"/>
      <c r="L70" s="645" t="s">
        <v>1017</v>
      </c>
      <c r="M70" s="645"/>
      <c r="N70" s="645"/>
      <c r="O70" s="645"/>
      <c r="P70" s="645"/>
      <c r="Q70" s="627" t="s">
        <v>204</v>
      </c>
      <c r="R70" s="627" t="s">
        <v>204</v>
      </c>
      <c r="S70" s="629" t="s">
        <v>238</v>
      </c>
      <c r="T70" s="627" t="s">
        <v>94</v>
      </c>
      <c r="U70" s="627" t="s">
        <v>204</v>
      </c>
      <c r="V70" s="627" t="s">
        <v>204</v>
      </c>
      <c r="W70" s="628" t="s">
        <v>744</v>
      </c>
      <c r="X70" s="623" t="s">
        <v>667</v>
      </c>
      <c r="Y70" s="564" t="s">
        <v>390</v>
      </c>
      <c r="Z70" s="585">
        <v>1</v>
      </c>
      <c r="AA70" s="834" t="s">
        <v>722</v>
      </c>
      <c r="AB70" s="829" t="s">
        <v>673</v>
      </c>
      <c r="AC70" s="1366"/>
      <c r="AD70" s="811">
        <v>1</v>
      </c>
      <c r="AE70" s="806" t="s">
        <v>16</v>
      </c>
      <c r="AF70" s="806" t="s">
        <v>21</v>
      </c>
      <c r="AG70" s="806" t="s">
        <v>204</v>
      </c>
      <c r="AH70" s="806" t="s">
        <v>633</v>
      </c>
      <c r="AI70" s="806" t="s">
        <v>77</v>
      </c>
      <c r="AJ70" s="806" t="s">
        <v>1286</v>
      </c>
      <c r="AK70" s="829" t="s">
        <v>700</v>
      </c>
      <c r="AL70" s="806" t="s">
        <v>43</v>
      </c>
      <c r="AM70" s="585">
        <v>2</v>
      </c>
      <c r="AN70" s="829" t="str">
        <f t="shared" si="101"/>
        <v>Realizar evaluación de cumplimiento del SG-SST de proveedores y contratistas "de personería jurídica"</v>
      </c>
      <c r="AO70" s="1353"/>
      <c r="AP70" s="836" t="s">
        <v>46</v>
      </c>
      <c r="AQ70" s="862">
        <v>0</v>
      </c>
      <c r="AR70" s="829" t="str">
        <f t="shared" si="118"/>
        <v>Realizar evaluación de cumplimiento del SG-SST de proveedores y contratistas "de personería jurídica"</v>
      </c>
      <c r="AS70" s="1366"/>
      <c r="AT70" s="834">
        <v>0</v>
      </c>
      <c r="AU70" s="1349"/>
      <c r="AV70" s="832" t="e">
        <f t="shared" si="119"/>
        <v>#DIV/0!</v>
      </c>
      <c r="AW70" s="1343"/>
      <c r="AX70" s="832">
        <f t="shared" si="120"/>
        <v>0</v>
      </c>
      <c r="AY70" s="1343"/>
      <c r="AZ70" s="586" t="s">
        <v>1331</v>
      </c>
      <c r="BA70" s="862">
        <v>1</v>
      </c>
      <c r="BB70" s="829" t="str">
        <f t="shared" si="121"/>
        <v>Realizar evaluación de cumplimiento del SG-SST de proveedores y contratistas "de personería jurídica"</v>
      </c>
      <c r="BC70" s="1366"/>
      <c r="BD70" s="564">
        <v>0</v>
      </c>
      <c r="BE70" s="1349"/>
      <c r="BF70" s="832">
        <f t="shared" si="122"/>
        <v>0</v>
      </c>
      <c r="BG70" s="1343"/>
      <c r="BH70" s="832">
        <f t="shared" si="123"/>
        <v>0</v>
      </c>
      <c r="BI70" s="1343"/>
      <c r="BJ70" s="731" t="s">
        <v>1625</v>
      </c>
      <c r="BK70" s="862">
        <v>0</v>
      </c>
      <c r="BL70" s="829" t="str">
        <f t="shared" si="124"/>
        <v>Realizar evaluación de cumplimiento del SG-SST de proveedores y contratistas "de personería jurídica"</v>
      </c>
      <c r="BM70" s="1366"/>
      <c r="BN70" s="959">
        <v>0</v>
      </c>
      <c r="BO70" s="1349"/>
      <c r="BP70" s="832" t="e">
        <f t="shared" si="125"/>
        <v>#DIV/0!</v>
      </c>
      <c r="BQ70" s="1343"/>
      <c r="BR70" s="832">
        <f t="shared" si="126"/>
        <v>0</v>
      </c>
      <c r="BS70" s="1343"/>
      <c r="BT70" s="961" t="s">
        <v>1886</v>
      </c>
      <c r="BU70" s="862">
        <v>1</v>
      </c>
      <c r="BV70" s="829" t="str">
        <f t="shared" si="127"/>
        <v>Realizar evaluación de cumplimiento del SG-SST de proveedores y contratistas "de personería jurídica"</v>
      </c>
      <c r="BW70" s="1366"/>
      <c r="BX70" s="1135">
        <v>0</v>
      </c>
      <c r="BY70" s="1368"/>
      <c r="BZ70" s="839">
        <f t="shared" si="128"/>
        <v>0</v>
      </c>
      <c r="CA70" s="1363"/>
      <c r="CB70" s="839">
        <f t="shared" si="133"/>
        <v>0</v>
      </c>
      <c r="CC70" s="1363"/>
      <c r="CD70" s="1079" t="s">
        <v>2050</v>
      </c>
      <c r="CE70" s="633" t="str">
        <f t="shared" si="129"/>
        <v>No Prog ni Ejec</v>
      </c>
      <c r="CF70" s="1350"/>
      <c r="CG70" s="633">
        <f t="shared" si="130"/>
        <v>0</v>
      </c>
      <c r="CH70" s="1350"/>
      <c r="CI70" s="633" t="str">
        <f t="shared" si="131"/>
        <v>No Prog ni Ejec</v>
      </c>
      <c r="CJ70" s="1350"/>
      <c r="CK70" s="633">
        <f t="shared" si="132"/>
        <v>0</v>
      </c>
      <c r="CL70" s="1362"/>
      <c r="CM70" s="569">
        <f t="shared" si="6"/>
        <v>0</v>
      </c>
      <c r="CR70" s="69"/>
      <c r="CS70" s="69"/>
      <c r="CT70" s="69"/>
      <c r="CU70" s="69"/>
      <c r="CV70" s="69"/>
      <c r="CW70" s="69"/>
      <c r="CX70" s="69"/>
      <c r="CY70" s="69">
        <v>8</v>
      </c>
      <c r="CZ70" s="69"/>
      <c r="DA70" s="69"/>
      <c r="DB70" s="69">
        <v>11</v>
      </c>
      <c r="DC70" s="69"/>
    </row>
    <row r="71" spans="1:107" s="570" customFormat="1" ht="106.5" hidden="1" customHeight="1" x14ac:dyDescent="0.2">
      <c r="A71" s="713">
        <v>11700</v>
      </c>
      <c r="B71" s="623" t="s">
        <v>14</v>
      </c>
      <c r="C71" s="562" t="s">
        <v>505</v>
      </c>
      <c r="D71" s="645"/>
      <c r="E71" s="645"/>
      <c r="F71" s="645" t="s">
        <v>1017</v>
      </c>
      <c r="G71" s="645"/>
      <c r="H71" s="645"/>
      <c r="I71" s="645" t="s">
        <v>1017</v>
      </c>
      <c r="J71" s="645"/>
      <c r="K71" s="645"/>
      <c r="L71" s="645" t="s">
        <v>1017</v>
      </c>
      <c r="M71" s="645"/>
      <c r="N71" s="645"/>
      <c r="O71" s="645"/>
      <c r="P71" s="645"/>
      <c r="Q71" s="627" t="s">
        <v>204</v>
      </c>
      <c r="R71" s="627" t="s">
        <v>204</v>
      </c>
      <c r="S71" s="629" t="s">
        <v>238</v>
      </c>
      <c r="T71" s="627" t="s">
        <v>94</v>
      </c>
      <c r="U71" s="627" t="s">
        <v>204</v>
      </c>
      <c r="V71" s="627" t="s">
        <v>204</v>
      </c>
      <c r="W71" s="628" t="s">
        <v>745</v>
      </c>
      <c r="X71" s="623" t="s">
        <v>668</v>
      </c>
      <c r="Y71" s="564" t="s">
        <v>390</v>
      </c>
      <c r="Z71" s="585">
        <v>1</v>
      </c>
      <c r="AA71" s="834" t="s">
        <v>723</v>
      </c>
      <c r="AB71" s="829" t="s">
        <v>674</v>
      </c>
      <c r="AC71" s="1366"/>
      <c r="AD71" s="811">
        <v>1</v>
      </c>
      <c r="AE71" s="806" t="s">
        <v>16</v>
      </c>
      <c r="AF71" s="806" t="s">
        <v>21</v>
      </c>
      <c r="AG71" s="806" t="s">
        <v>204</v>
      </c>
      <c r="AH71" s="806" t="s">
        <v>633</v>
      </c>
      <c r="AI71" s="806" t="s">
        <v>77</v>
      </c>
      <c r="AJ71" s="806" t="s">
        <v>1286</v>
      </c>
      <c r="AK71" s="829" t="s">
        <v>700</v>
      </c>
      <c r="AL71" s="806" t="s">
        <v>43</v>
      </c>
      <c r="AM71" s="585">
        <v>1</v>
      </c>
      <c r="AN71" s="829" t="str">
        <f t="shared" si="101"/>
        <v>Realizar auditoria interna del SG-SST</v>
      </c>
      <c r="AO71" s="1353"/>
      <c r="AP71" s="836" t="s">
        <v>46</v>
      </c>
      <c r="AQ71" s="862">
        <v>0</v>
      </c>
      <c r="AR71" s="829" t="str">
        <f t="shared" si="118"/>
        <v>Realizar auditoria interna del SG-SST</v>
      </c>
      <c r="AS71" s="1366"/>
      <c r="AT71" s="834">
        <v>0</v>
      </c>
      <c r="AU71" s="1349"/>
      <c r="AV71" s="832" t="e">
        <f t="shared" si="119"/>
        <v>#DIV/0!</v>
      </c>
      <c r="AW71" s="1343"/>
      <c r="AX71" s="832">
        <f t="shared" si="120"/>
        <v>0</v>
      </c>
      <c r="AY71" s="1343"/>
      <c r="AZ71" s="586" t="s">
        <v>1331</v>
      </c>
      <c r="BA71" s="862">
        <v>0</v>
      </c>
      <c r="BB71" s="829" t="str">
        <f t="shared" si="121"/>
        <v>Realizar auditoria interna del SG-SST</v>
      </c>
      <c r="BC71" s="1366"/>
      <c r="BD71" s="564">
        <v>0</v>
      </c>
      <c r="BE71" s="1349"/>
      <c r="BF71" s="832" t="e">
        <f t="shared" si="122"/>
        <v>#DIV/0!</v>
      </c>
      <c r="BG71" s="1343"/>
      <c r="BH71" s="832">
        <f t="shared" si="123"/>
        <v>0</v>
      </c>
      <c r="BI71" s="1343"/>
      <c r="BJ71" s="731" t="s">
        <v>1628</v>
      </c>
      <c r="BK71" s="862">
        <v>0</v>
      </c>
      <c r="BL71" s="829" t="str">
        <f t="shared" si="124"/>
        <v>Realizar auditoria interna del SG-SST</v>
      </c>
      <c r="BM71" s="1366"/>
      <c r="BN71" s="959">
        <v>0</v>
      </c>
      <c r="BO71" s="1349"/>
      <c r="BP71" s="832" t="e">
        <f t="shared" si="125"/>
        <v>#DIV/0!</v>
      </c>
      <c r="BQ71" s="1343"/>
      <c r="BR71" s="832">
        <f t="shared" si="126"/>
        <v>0</v>
      </c>
      <c r="BS71" s="1343"/>
      <c r="BT71" s="961" t="s">
        <v>1890</v>
      </c>
      <c r="BU71" s="862">
        <v>1</v>
      </c>
      <c r="BV71" s="829" t="str">
        <f t="shared" si="127"/>
        <v>Realizar auditoria interna del SG-SST</v>
      </c>
      <c r="BW71" s="1366"/>
      <c r="BX71" s="1135">
        <v>0</v>
      </c>
      <c r="BY71" s="1368"/>
      <c r="BZ71" s="839">
        <f t="shared" si="128"/>
        <v>0</v>
      </c>
      <c r="CA71" s="1363"/>
      <c r="CB71" s="839">
        <f t="shared" si="133"/>
        <v>0</v>
      </c>
      <c r="CC71" s="1363"/>
      <c r="CD71" s="1079" t="s">
        <v>2050</v>
      </c>
      <c r="CE71" s="633" t="str">
        <f t="shared" si="129"/>
        <v>No Prog ni Ejec</v>
      </c>
      <c r="CF71" s="1350"/>
      <c r="CG71" s="633" t="str">
        <f t="shared" si="130"/>
        <v>No Prog ni Ejec</v>
      </c>
      <c r="CH71" s="1350"/>
      <c r="CI71" s="633" t="str">
        <f t="shared" si="131"/>
        <v>No Prog ni Ejec</v>
      </c>
      <c r="CJ71" s="1350"/>
      <c r="CK71" s="633">
        <f t="shared" si="132"/>
        <v>0</v>
      </c>
      <c r="CL71" s="1362"/>
      <c r="CM71" s="569">
        <f t="shared" si="6"/>
        <v>0</v>
      </c>
      <c r="CR71" s="69"/>
      <c r="CS71" s="69"/>
      <c r="CT71" s="69"/>
      <c r="CU71" s="69"/>
      <c r="CV71" s="69"/>
      <c r="CW71" s="69"/>
      <c r="CX71" s="69"/>
      <c r="CY71" s="69">
        <v>8</v>
      </c>
      <c r="CZ71" s="69"/>
      <c r="DA71" s="69"/>
      <c r="DB71" s="69">
        <v>11</v>
      </c>
      <c r="DC71" s="69"/>
    </row>
    <row r="72" spans="1:107" s="570" customFormat="1" ht="102.75" hidden="1" customHeight="1" x14ac:dyDescent="0.2">
      <c r="A72" s="713">
        <v>11700</v>
      </c>
      <c r="B72" s="623" t="s">
        <v>14</v>
      </c>
      <c r="C72" s="562" t="s">
        <v>505</v>
      </c>
      <c r="D72" s="645"/>
      <c r="E72" s="645"/>
      <c r="F72" s="645" t="s">
        <v>1017</v>
      </c>
      <c r="G72" s="645"/>
      <c r="H72" s="645"/>
      <c r="I72" s="645" t="s">
        <v>1017</v>
      </c>
      <c r="J72" s="645"/>
      <c r="K72" s="645"/>
      <c r="L72" s="645" t="s">
        <v>1017</v>
      </c>
      <c r="M72" s="645"/>
      <c r="N72" s="645"/>
      <c r="O72" s="645"/>
      <c r="P72" s="645"/>
      <c r="Q72" s="627" t="s">
        <v>204</v>
      </c>
      <c r="R72" s="627" t="s">
        <v>204</v>
      </c>
      <c r="S72" s="629" t="s">
        <v>238</v>
      </c>
      <c r="T72" s="627" t="s">
        <v>94</v>
      </c>
      <c r="U72" s="627" t="s">
        <v>204</v>
      </c>
      <c r="V72" s="627" t="s">
        <v>204</v>
      </c>
      <c r="W72" s="628" t="s">
        <v>746</v>
      </c>
      <c r="X72" s="623" t="s">
        <v>699</v>
      </c>
      <c r="Y72" s="564" t="s">
        <v>390</v>
      </c>
      <c r="Z72" s="585">
        <v>1</v>
      </c>
      <c r="AA72" s="834" t="s">
        <v>724</v>
      </c>
      <c r="AB72" s="829" t="s">
        <v>675</v>
      </c>
      <c r="AC72" s="1366"/>
      <c r="AD72" s="811">
        <v>1</v>
      </c>
      <c r="AE72" s="806" t="s">
        <v>16</v>
      </c>
      <c r="AF72" s="806" t="s">
        <v>21</v>
      </c>
      <c r="AG72" s="806" t="s">
        <v>204</v>
      </c>
      <c r="AH72" s="806" t="s">
        <v>633</v>
      </c>
      <c r="AI72" s="806" t="s">
        <v>77</v>
      </c>
      <c r="AJ72" s="806" t="s">
        <v>1286</v>
      </c>
      <c r="AK72" s="829" t="s">
        <v>700</v>
      </c>
      <c r="AL72" s="806" t="s">
        <v>43</v>
      </c>
      <c r="AM72" s="585">
        <v>1</v>
      </c>
      <c r="AN72" s="829" t="str">
        <f t="shared" si="101"/>
        <v>Realizar plan de acción de los hallazgos generados por auditoria interna o entes de control.</v>
      </c>
      <c r="AO72" s="1353"/>
      <c r="AP72" s="836" t="s">
        <v>46</v>
      </c>
      <c r="AQ72" s="862">
        <v>0</v>
      </c>
      <c r="AR72" s="829" t="str">
        <f t="shared" si="118"/>
        <v>Realizar plan de acción de los hallazgos generados por auditoria interna o entes de control.</v>
      </c>
      <c r="AS72" s="1366"/>
      <c r="AT72" s="834">
        <v>0</v>
      </c>
      <c r="AU72" s="1349"/>
      <c r="AV72" s="832" t="e">
        <f t="shared" si="119"/>
        <v>#DIV/0!</v>
      </c>
      <c r="AW72" s="1343"/>
      <c r="AX72" s="832">
        <f t="shared" si="120"/>
        <v>0</v>
      </c>
      <c r="AY72" s="1343"/>
      <c r="AZ72" s="586" t="s">
        <v>1331</v>
      </c>
      <c r="BA72" s="862">
        <v>0</v>
      </c>
      <c r="BB72" s="829" t="str">
        <f t="shared" si="121"/>
        <v>Realizar plan de acción de los hallazgos generados por auditoria interna o entes de control.</v>
      </c>
      <c r="BC72" s="1366"/>
      <c r="BD72" s="564">
        <v>0</v>
      </c>
      <c r="BE72" s="1349"/>
      <c r="BF72" s="832" t="e">
        <f t="shared" si="122"/>
        <v>#DIV/0!</v>
      </c>
      <c r="BG72" s="1343"/>
      <c r="BH72" s="832">
        <f t="shared" si="123"/>
        <v>0</v>
      </c>
      <c r="BI72" s="1343"/>
      <c r="BJ72" s="731" t="s">
        <v>1629</v>
      </c>
      <c r="BK72" s="862">
        <v>0</v>
      </c>
      <c r="BL72" s="829" t="str">
        <f t="shared" si="124"/>
        <v>Realizar plan de acción de los hallazgos generados por auditoria interna o entes de control.</v>
      </c>
      <c r="BM72" s="1366"/>
      <c r="BN72" s="959">
        <v>0</v>
      </c>
      <c r="BO72" s="1349"/>
      <c r="BP72" s="832" t="e">
        <f t="shared" si="125"/>
        <v>#DIV/0!</v>
      </c>
      <c r="BQ72" s="1343"/>
      <c r="BR72" s="832">
        <f t="shared" si="126"/>
        <v>0</v>
      </c>
      <c r="BS72" s="1343"/>
      <c r="BT72" s="961" t="s">
        <v>1890</v>
      </c>
      <c r="BU72" s="862">
        <v>1</v>
      </c>
      <c r="BV72" s="829" t="str">
        <f t="shared" si="127"/>
        <v>Realizar plan de acción de los hallazgos generados por auditoria interna o entes de control.</v>
      </c>
      <c r="BW72" s="1366"/>
      <c r="BX72" s="1135">
        <v>0</v>
      </c>
      <c r="BY72" s="1368"/>
      <c r="BZ72" s="839">
        <f t="shared" si="128"/>
        <v>0</v>
      </c>
      <c r="CA72" s="1363"/>
      <c r="CB72" s="839">
        <f t="shared" si="133"/>
        <v>0</v>
      </c>
      <c r="CC72" s="1363"/>
      <c r="CD72" s="1079" t="s">
        <v>2050</v>
      </c>
      <c r="CE72" s="633" t="str">
        <f t="shared" si="129"/>
        <v>No Prog ni Ejec</v>
      </c>
      <c r="CF72" s="1350"/>
      <c r="CG72" s="633" t="str">
        <f t="shared" si="130"/>
        <v>No Prog ni Ejec</v>
      </c>
      <c r="CH72" s="1350"/>
      <c r="CI72" s="633" t="str">
        <f t="shared" si="131"/>
        <v>No Prog ni Ejec</v>
      </c>
      <c r="CJ72" s="1350"/>
      <c r="CK72" s="633">
        <f t="shared" si="132"/>
        <v>0</v>
      </c>
      <c r="CL72" s="1362"/>
      <c r="CM72" s="569">
        <f t="shared" ref="CM72:CM136" si="134">+AC72-AS72-BC72-BM72-BW72</f>
        <v>0</v>
      </c>
      <c r="CR72" s="69"/>
      <c r="CS72" s="69"/>
      <c r="CT72" s="69"/>
      <c r="CU72" s="69"/>
      <c r="CV72" s="69"/>
      <c r="CW72" s="69"/>
      <c r="CX72" s="69"/>
      <c r="CY72" s="69">
        <v>8</v>
      </c>
      <c r="CZ72" s="69"/>
      <c r="DA72" s="69"/>
      <c r="DB72" s="69">
        <v>11</v>
      </c>
      <c r="DC72" s="69"/>
    </row>
    <row r="73" spans="1:107" s="570" customFormat="1" ht="103.5" hidden="1" customHeight="1" x14ac:dyDescent="0.2">
      <c r="A73" s="713">
        <v>11700</v>
      </c>
      <c r="B73" s="623" t="s">
        <v>14</v>
      </c>
      <c r="C73" s="562" t="s">
        <v>505</v>
      </c>
      <c r="D73" s="645"/>
      <c r="E73" s="645"/>
      <c r="F73" s="645" t="s">
        <v>1017</v>
      </c>
      <c r="G73" s="645"/>
      <c r="H73" s="645"/>
      <c r="I73" s="645" t="s">
        <v>1017</v>
      </c>
      <c r="J73" s="645"/>
      <c r="K73" s="645"/>
      <c r="L73" s="645" t="s">
        <v>1017</v>
      </c>
      <c r="M73" s="645"/>
      <c r="N73" s="645"/>
      <c r="O73" s="645"/>
      <c r="P73" s="645"/>
      <c r="Q73" s="627" t="s">
        <v>204</v>
      </c>
      <c r="R73" s="627" t="s">
        <v>204</v>
      </c>
      <c r="S73" s="629" t="s">
        <v>238</v>
      </c>
      <c r="T73" s="627" t="s">
        <v>94</v>
      </c>
      <c r="U73" s="627" t="s">
        <v>204</v>
      </c>
      <c r="V73" s="627" t="s">
        <v>204</v>
      </c>
      <c r="W73" s="628" t="s">
        <v>771</v>
      </c>
      <c r="X73" s="623" t="s">
        <v>501</v>
      </c>
      <c r="Y73" s="587" t="s">
        <v>406</v>
      </c>
      <c r="Z73" s="581">
        <v>1</v>
      </c>
      <c r="AA73" s="834" t="s">
        <v>768</v>
      </c>
      <c r="AB73" s="829" t="s">
        <v>747</v>
      </c>
      <c r="AC73" s="847">
        <v>20000000</v>
      </c>
      <c r="AD73" s="811">
        <v>1</v>
      </c>
      <c r="AE73" s="806" t="s">
        <v>16</v>
      </c>
      <c r="AF73" s="806" t="s">
        <v>21</v>
      </c>
      <c r="AG73" s="806" t="s">
        <v>204</v>
      </c>
      <c r="AH73" s="806" t="s">
        <v>633</v>
      </c>
      <c r="AI73" s="806" t="s">
        <v>77</v>
      </c>
      <c r="AJ73" s="806" t="s">
        <v>1286</v>
      </c>
      <c r="AK73" s="829" t="s">
        <v>502</v>
      </c>
      <c r="AL73" s="806" t="s">
        <v>43</v>
      </c>
      <c r="AM73" s="585">
        <v>1</v>
      </c>
      <c r="AN73" s="829" t="str">
        <f t="shared" si="101"/>
        <v>Elaborar el profesiograma de los servidores públicos de ADRES</v>
      </c>
      <c r="AO73" s="837">
        <f t="shared" ref="AO73:AO80" si="135">+AC73</f>
        <v>20000000</v>
      </c>
      <c r="AP73" s="836" t="s">
        <v>46</v>
      </c>
      <c r="AQ73" s="834">
        <v>0</v>
      </c>
      <c r="AR73" s="829" t="str">
        <f t="shared" si="118"/>
        <v>Elaborar el profesiograma de los servidores públicos de ADRES</v>
      </c>
      <c r="AS73" s="835">
        <v>0</v>
      </c>
      <c r="AT73" s="834">
        <v>0</v>
      </c>
      <c r="AU73" s="835">
        <v>0</v>
      </c>
      <c r="AV73" s="832" t="e">
        <f t="shared" si="119"/>
        <v>#DIV/0!</v>
      </c>
      <c r="AW73" s="832" t="e">
        <f>+(AU73/AS73)</f>
        <v>#DIV/0!</v>
      </c>
      <c r="AX73" s="832">
        <f t="shared" si="120"/>
        <v>0</v>
      </c>
      <c r="AY73" s="832">
        <f>+(AU73/AO73)</f>
        <v>0</v>
      </c>
      <c r="AZ73" s="586" t="s">
        <v>1331</v>
      </c>
      <c r="BA73" s="834">
        <v>0</v>
      </c>
      <c r="BB73" s="829" t="str">
        <f t="shared" si="121"/>
        <v>Elaborar el profesiograma de los servidores públicos de ADRES</v>
      </c>
      <c r="BC73" s="835">
        <v>0</v>
      </c>
      <c r="BD73" s="564">
        <v>0</v>
      </c>
      <c r="BE73" s="835">
        <v>0</v>
      </c>
      <c r="BF73" s="832" t="e">
        <f t="shared" si="122"/>
        <v>#DIV/0!</v>
      </c>
      <c r="BG73" s="832" t="e">
        <f>+(BE73/BC73)</f>
        <v>#DIV/0!</v>
      </c>
      <c r="BH73" s="832">
        <f t="shared" si="123"/>
        <v>0</v>
      </c>
      <c r="BI73" s="832">
        <f>+(BE73+AU73)/AO73</f>
        <v>0</v>
      </c>
      <c r="BJ73" s="731" t="s">
        <v>1630</v>
      </c>
      <c r="BK73" s="834">
        <v>0</v>
      </c>
      <c r="BL73" s="829" t="str">
        <f t="shared" si="124"/>
        <v>Elaborar el profesiograma de los servidores públicos de ADRES</v>
      </c>
      <c r="BM73" s="835">
        <v>0</v>
      </c>
      <c r="BN73" s="959">
        <v>0</v>
      </c>
      <c r="BO73" s="958"/>
      <c r="BP73" s="832" t="e">
        <f t="shared" si="125"/>
        <v>#DIV/0!</v>
      </c>
      <c r="BQ73" s="832" t="e">
        <f>+(BO73/BM73)</f>
        <v>#DIV/0!</v>
      </c>
      <c r="BR73" s="832">
        <f t="shared" si="126"/>
        <v>0</v>
      </c>
      <c r="BS73" s="832">
        <f>+(BE73+AU73+BO73)/AO73</f>
        <v>0</v>
      </c>
      <c r="BT73" s="961" t="s">
        <v>1630</v>
      </c>
      <c r="BU73" s="581">
        <v>1</v>
      </c>
      <c r="BV73" s="829" t="str">
        <f t="shared" si="127"/>
        <v>Elaborar el profesiograma de los servidores públicos de ADRES</v>
      </c>
      <c r="BW73" s="835">
        <f>+AO73</f>
        <v>20000000</v>
      </c>
      <c r="BX73" s="1135">
        <v>0</v>
      </c>
      <c r="BY73" s="1135">
        <v>0</v>
      </c>
      <c r="BZ73" s="839">
        <f t="shared" si="128"/>
        <v>0</v>
      </c>
      <c r="CA73" s="839">
        <f>+(BY73/BW73)</f>
        <v>0</v>
      </c>
      <c r="CB73" s="839">
        <f t="shared" si="133"/>
        <v>0</v>
      </c>
      <c r="CC73" s="839">
        <f>+(BE73+AU73+BO73+BY73)/AO73</f>
        <v>0</v>
      </c>
      <c r="CD73" s="1079" t="s">
        <v>2050</v>
      </c>
      <c r="CE73" s="633" t="str">
        <f t="shared" si="129"/>
        <v>No Prog ni Ejec</v>
      </c>
      <c r="CF73" s="633" t="str">
        <f>IF(AND(AS73=0,AU73=0),"No Prog ni Ejec",IF(AS73=0,CONCATENATE("No Prog, Ejec=  ",AU73),AU73/AS73))</f>
        <v>No Prog ni Ejec</v>
      </c>
      <c r="CG73" s="633" t="str">
        <f t="shared" si="130"/>
        <v>No Prog ni Ejec</v>
      </c>
      <c r="CH73" s="633" t="str">
        <f>IF(AND(BC73=0,BE73=0),"No Prog ni Ejec",IF(BC73=0,CONCATENATE("No Prog, Ejec=  ",BE73),BE73/BC73))</f>
        <v>No Prog ni Ejec</v>
      </c>
      <c r="CI73" s="633" t="str">
        <f t="shared" si="131"/>
        <v>No Prog ni Ejec</v>
      </c>
      <c r="CJ73" s="633" t="str">
        <f>IF(AND(BM73=0,BO73=0),"No Prog ni Ejec",IF(BM73=0,CONCATENATE("No Prog, Ejec=  ",BO73),BO73/BM73))</f>
        <v>No Prog ni Ejec</v>
      </c>
      <c r="CK73" s="633">
        <f t="shared" si="132"/>
        <v>0</v>
      </c>
      <c r="CL73" s="741">
        <f>IF(AND(BW73=0,BY73=0),"No Prog ni Ejec",IF(BW73=0,CONCATENATE("No Prog, Ejec=  ",BY73),BY73/BW73))</f>
        <v>0</v>
      </c>
      <c r="CM73" s="569">
        <f t="shared" si="134"/>
        <v>0</v>
      </c>
      <c r="CR73" s="69"/>
      <c r="CS73" s="69"/>
      <c r="CT73" s="69"/>
      <c r="CU73" s="69"/>
      <c r="CV73" s="69"/>
      <c r="CW73" s="69"/>
      <c r="CX73" s="69"/>
      <c r="CY73" s="69">
        <v>8</v>
      </c>
      <c r="CZ73" s="69"/>
      <c r="DA73" s="69"/>
      <c r="DB73" s="69">
        <v>11</v>
      </c>
      <c r="DC73" s="69"/>
    </row>
    <row r="74" spans="1:107" s="69" customFormat="1" ht="98.25" customHeight="1" x14ac:dyDescent="0.2">
      <c r="A74" s="684">
        <v>11700</v>
      </c>
      <c r="B74" s="627" t="s">
        <v>14</v>
      </c>
      <c r="C74" s="645" t="s">
        <v>505</v>
      </c>
      <c r="D74" s="645"/>
      <c r="E74" s="645"/>
      <c r="F74" s="645" t="s">
        <v>1017</v>
      </c>
      <c r="G74" s="645"/>
      <c r="H74" s="645"/>
      <c r="I74" s="645" t="s">
        <v>1017</v>
      </c>
      <c r="J74" s="645"/>
      <c r="K74" s="645"/>
      <c r="L74" s="645" t="s">
        <v>1017</v>
      </c>
      <c r="M74" s="645"/>
      <c r="N74" s="645"/>
      <c r="O74" s="645"/>
      <c r="P74" s="645"/>
      <c r="Q74" s="627" t="s">
        <v>204</v>
      </c>
      <c r="R74" s="627" t="s">
        <v>204</v>
      </c>
      <c r="S74" s="629" t="s">
        <v>238</v>
      </c>
      <c r="T74" s="627" t="s">
        <v>94</v>
      </c>
      <c r="U74" s="627" t="s">
        <v>204</v>
      </c>
      <c r="V74" s="627" t="s">
        <v>204</v>
      </c>
      <c r="W74" s="629" t="s">
        <v>772</v>
      </c>
      <c r="X74" s="627" t="s">
        <v>748</v>
      </c>
      <c r="Y74" s="60" t="s">
        <v>406</v>
      </c>
      <c r="Z74" s="66">
        <v>2</v>
      </c>
      <c r="AA74" s="814" t="s">
        <v>769</v>
      </c>
      <c r="AB74" s="806" t="s">
        <v>1545</v>
      </c>
      <c r="AC74" s="1149">
        <v>0</v>
      </c>
      <c r="AD74" s="811">
        <v>1</v>
      </c>
      <c r="AE74" s="806" t="s">
        <v>16</v>
      </c>
      <c r="AF74" s="806" t="s">
        <v>21</v>
      </c>
      <c r="AG74" s="806" t="s">
        <v>204</v>
      </c>
      <c r="AH74" s="806" t="s">
        <v>633</v>
      </c>
      <c r="AI74" s="806" t="s">
        <v>77</v>
      </c>
      <c r="AJ74" s="806" t="s">
        <v>1286</v>
      </c>
      <c r="AK74" s="806" t="s">
        <v>506</v>
      </c>
      <c r="AL74" s="806" t="s">
        <v>43</v>
      </c>
      <c r="AM74" s="814">
        <v>2</v>
      </c>
      <c r="AN74" s="806" t="str">
        <f>+AB74</f>
        <v>Realizar estudios de iluminación, ruido y temperatura con el fin de valorar el riesgo a los cuales están expuestos los servidores públicos que laboran en ADRES y establecer los controles necesarios.</v>
      </c>
      <c r="AO74" s="1148">
        <f t="shared" si="135"/>
        <v>0</v>
      </c>
      <c r="AP74" s="836" t="s">
        <v>46</v>
      </c>
      <c r="AQ74" s="814">
        <v>0</v>
      </c>
      <c r="AR74" s="806" t="str">
        <f t="shared" si="118"/>
        <v>Realizar estudios de iluminación, ruido y temperatura con el fin de valorar el riesgo a los cuales están expuestos los servidores públicos que laboran en ADRES y establecer los controles necesarios.</v>
      </c>
      <c r="AS74" s="810">
        <v>0</v>
      </c>
      <c r="AT74" s="814">
        <v>0</v>
      </c>
      <c r="AU74" s="810">
        <v>0</v>
      </c>
      <c r="AV74" s="807" t="e">
        <f t="shared" si="119"/>
        <v>#DIV/0!</v>
      </c>
      <c r="AW74" s="807" t="e">
        <f>+(AU74/AS74)</f>
        <v>#DIV/0!</v>
      </c>
      <c r="AX74" s="807">
        <f t="shared" si="120"/>
        <v>0</v>
      </c>
      <c r="AY74" s="807" t="e">
        <f>+(AU74/AO74)</f>
        <v>#DIV/0!</v>
      </c>
      <c r="AZ74" s="492" t="s">
        <v>1331</v>
      </c>
      <c r="BA74" s="814">
        <v>0</v>
      </c>
      <c r="BB74" s="806" t="str">
        <f t="shared" si="121"/>
        <v>Realizar estudios de iluminación, ruido y temperatura con el fin de valorar el riesgo a los cuales están expuestos los servidores públicos que laboran en ADRES y establecer los controles necesarios.</v>
      </c>
      <c r="BC74" s="810">
        <v>0</v>
      </c>
      <c r="BD74" s="817">
        <v>0</v>
      </c>
      <c r="BE74" s="810">
        <v>0</v>
      </c>
      <c r="BF74" s="807" t="e">
        <f t="shared" si="122"/>
        <v>#DIV/0!</v>
      </c>
      <c r="BG74" s="807" t="e">
        <f>+(BE74/BC74)</f>
        <v>#DIV/0!</v>
      </c>
      <c r="BH74" s="807">
        <f t="shared" si="123"/>
        <v>0</v>
      </c>
      <c r="BI74" s="807" t="e">
        <f>+(BE74+AU74)/AO74</f>
        <v>#DIV/0!</v>
      </c>
      <c r="BJ74" s="808" t="s">
        <v>1631</v>
      </c>
      <c r="BK74" s="814">
        <v>2</v>
      </c>
      <c r="BL74" s="806" t="str">
        <f t="shared" si="124"/>
        <v>Realizar estudios de iluminación, ruido y temperatura con el fin de valorar el riesgo a los cuales están expuestos los servidores públicos que laboran en ADRES y establecer los controles necesarios.</v>
      </c>
      <c r="BM74" s="810">
        <v>26000000</v>
      </c>
      <c r="BN74" s="949">
        <v>0</v>
      </c>
      <c r="BO74" s="946">
        <v>0</v>
      </c>
      <c r="BP74" s="807">
        <f t="shared" si="125"/>
        <v>0</v>
      </c>
      <c r="BQ74" s="807">
        <f>+(BO74/BM74)</f>
        <v>0</v>
      </c>
      <c r="BR74" s="807">
        <f t="shared" si="126"/>
        <v>0</v>
      </c>
      <c r="BS74" s="807">
        <f>+(BE74+AU74+BO74)/26000000</f>
        <v>0</v>
      </c>
      <c r="BT74" s="948" t="s">
        <v>1891</v>
      </c>
      <c r="BU74" s="66">
        <v>0</v>
      </c>
      <c r="BV74" s="806" t="str">
        <f t="shared" si="127"/>
        <v>Realizar estudios de iluminación, ruido y temperatura con el fin de valorar el riesgo a los cuales están expuestos los servidores públicos que laboran en ADRES y establecer los controles necesarios.</v>
      </c>
      <c r="BW74" s="810">
        <v>0</v>
      </c>
      <c r="BX74" s="1132">
        <v>0</v>
      </c>
      <c r="BY74" s="1130">
        <v>0</v>
      </c>
      <c r="BZ74" s="805" t="e">
        <f t="shared" si="128"/>
        <v>#DIV/0!</v>
      </c>
      <c r="CA74" s="805" t="e">
        <f>+(BY74/BW74)</f>
        <v>#DIV/0!</v>
      </c>
      <c r="CB74" s="805">
        <f t="shared" si="133"/>
        <v>0</v>
      </c>
      <c r="CC74" s="805">
        <f>+(BE74+AU74+BO74+BY74)/26000000</f>
        <v>0</v>
      </c>
      <c r="CD74" s="682" t="s">
        <v>2050</v>
      </c>
      <c r="CE74" s="631" t="str">
        <f t="shared" si="129"/>
        <v>No Prog ni Ejec</v>
      </c>
      <c r="CF74" s="631" t="str">
        <f>IF(AND(AS74=0,AU74=0),"No Prog ni Ejec",IF(AS74=0,CONCATENATE("No Prog, Ejec=  ",AU74),AU74/AS74))</f>
        <v>No Prog ni Ejec</v>
      </c>
      <c r="CG74" s="631" t="str">
        <f t="shared" si="130"/>
        <v>No Prog ni Ejec</v>
      </c>
      <c r="CH74" s="631" t="str">
        <f>IF(AND(BC74=0,BE74=0),"No Prog ni Ejec",IF(BC74=0,CONCATENATE("No Prog, Ejec=  ",BE74),BE74/BC74))</f>
        <v>No Prog ni Ejec</v>
      </c>
      <c r="CI74" s="631">
        <f t="shared" si="131"/>
        <v>0</v>
      </c>
      <c r="CJ74" s="631">
        <f>IF(AND(BM74=0,BO74=0),"No Prog ni Ejec",IF(BM74=0,CONCATENATE("No Prog, Ejec=  ",BO74),BO74/BM74))</f>
        <v>0</v>
      </c>
      <c r="CK74" s="631" t="str">
        <f t="shared" si="132"/>
        <v>No Prog ni Ejec</v>
      </c>
      <c r="CL74" s="685" t="str">
        <f>IF(AND(BW74=0,BY74=0),"No Prog ni Ejec",IF(BW74=0,CONCATENATE("No Prog, Ejec=  ",BY74),BY74/BW74))</f>
        <v>No Prog ni Ejec</v>
      </c>
      <c r="CM74" s="127">
        <f t="shared" si="134"/>
        <v>-26000000</v>
      </c>
      <c r="CY74" s="69">
        <v>8</v>
      </c>
      <c r="DB74" s="69">
        <v>11</v>
      </c>
    </row>
    <row r="75" spans="1:107" s="69" customFormat="1" ht="110.25" customHeight="1" x14ac:dyDescent="0.2">
      <c r="A75" s="684">
        <v>11700</v>
      </c>
      <c r="B75" s="627" t="s">
        <v>14</v>
      </c>
      <c r="C75" s="645" t="s">
        <v>505</v>
      </c>
      <c r="D75" s="645"/>
      <c r="E75" s="645"/>
      <c r="F75" s="645" t="s">
        <v>1017</v>
      </c>
      <c r="G75" s="645"/>
      <c r="H75" s="645"/>
      <c r="I75" s="645" t="s">
        <v>1017</v>
      </c>
      <c r="J75" s="645"/>
      <c r="K75" s="645"/>
      <c r="L75" s="645" t="s">
        <v>1017</v>
      </c>
      <c r="M75" s="645"/>
      <c r="N75" s="645"/>
      <c r="O75" s="645"/>
      <c r="P75" s="645"/>
      <c r="Q75" s="627" t="s">
        <v>204</v>
      </c>
      <c r="R75" s="627" t="s">
        <v>204</v>
      </c>
      <c r="S75" s="629" t="s">
        <v>238</v>
      </c>
      <c r="T75" s="627" t="s">
        <v>94</v>
      </c>
      <c r="U75" s="627" t="s">
        <v>204</v>
      </c>
      <c r="V75" s="627" t="s">
        <v>204</v>
      </c>
      <c r="W75" s="629" t="s">
        <v>773</v>
      </c>
      <c r="X75" s="627" t="s">
        <v>503</v>
      </c>
      <c r="Y75" s="641" t="s">
        <v>51</v>
      </c>
      <c r="Z75" s="805">
        <v>1</v>
      </c>
      <c r="AA75" s="814" t="s">
        <v>770</v>
      </c>
      <c r="AB75" s="806" t="s">
        <v>749</v>
      </c>
      <c r="AC75" s="1149">
        <v>0</v>
      </c>
      <c r="AD75" s="811">
        <v>1</v>
      </c>
      <c r="AE75" s="806" t="s">
        <v>16</v>
      </c>
      <c r="AF75" s="806" t="s">
        <v>21</v>
      </c>
      <c r="AG75" s="806" t="s">
        <v>204</v>
      </c>
      <c r="AH75" s="806" t="s">
        <v>633</v>
      </c>
      <c r="AI75" s="806" t="s">
        <v>77</v>
      </c>
      <c r="AJ75" s="806" t="s">
        <v>1286</v>
      </c>
      <c r="AK75" s="806" t="s">
        <v>504</v>
      </c>
      <c r="AL75" s="806" t="s">
        <v>43</v>
      </c>
      <c r="AM75" s="805">
        <v>1</v>
      </c>
      <c r="AN75" s="806" t="str">
        <f>+AB75</f>
        <v>Poner a disposición de los funcionarios de la ADRES, elementos ergonómicos</v>
      </c>
      <c r="AO75" s="1148">
        <f t="shared" si="135"/>
        <v>0</v>
      </c>
      <c r="AP75" s="836" t="s">
        <v>46</v>
      </c>
      <c r="AQ75" s="811">
        <v>0</v>
      </c>
      <c r="AR75" s="806" t="str">
        <f t="shared" si="118"/>
        <v>Poner a disposición de los funcionarios de la ADRES, elementos ergonómicos</v>
      </c>
      <c r="AS75" s="810">
        <v>0</v>
      </c>
      <c r="AT75" s="811">
        <v>0</v>
      </c>
      <c r="AU75" s="810">
        <v>0</v>
      </c>
      <c r="AV75" s="807" t="e">
        <f t="shared" si="119"/>
        <v>#DIV/0!</v>
      </c>
      <c r="AW75" s="807" t="e">
        <f>+(AU75/AS75)</f>
        <v>#DIV/0!</v>
      </c>
      <c r="AX75" s="807">
        <f t="shared" si="120"/>
        <v>0</v>
      </c>
      <c r="AY75" s="807" t="e">
        <f>+(AU75/AO75)</f>
        <v>#DIV/0!</v>
      </c>
      <c r="AZ75" s="492" t="s">
        <v>1331</v>
      </c>
      <c r="BA75" s="811">
        <v>0</v>
      </c>
      <c r="BB75" s="806" t="str">
        <f t="shared" si="121"/>
        <v>Poner a disposición de los funcionarios de la ADRES, elementos ergonómicos</v>
      </c>
      <c r="BC75" s="810">
        <v>0</v>
      </c>
      <c r="BD75" s="817">
        <v>0</v>
      </c>
      <c r="BE75" s="810">
        <v>0</v>
      </c>
      <c r="BF75" s="807" t="e">
        <f t="shared" si="122"/>
        <v>#DIV/0!</v>
      </c>
      <c r="BG75" s="807" t="e">
        <f>+(BE75/BC75)</f>
        <v>#DIV/0!</v>
      </c>
      <c r="BH75" s="807">
        <f t="shared" si="123"/>
        <v>0</v>
      </c>
      <c r="BI75" s="807" t="e">
        <f>+(BE75+AU75)/AO75</f>
        <v>#DIV/0!</v>
      </c>
      <c r="BJ75" s="809" t="s">
        <v>1375</v>
      </c>
      <c r="BK75" s="811">
        <v>0</v>
      </c>
      <c r="BL75" s="806" t="str">
        <f t="shared" si="124"/>
        <v>Poner a disposición de los funcionarios de la ADRES, elementos ergonómicos</v>
      </c>
      <c r="BM75" s="810">
        <v>0</v>
      </c>
      <c r="BN75" s="949">
        <v>0</v>
      </c>
      <c r="BO75" s="946">
        <v>0</v>
      </c>
      <c r="BP75" s="807" t="e">
        <f t="shared" si="125"/>
        <v>#DIV/0!</v>
      </c>
      <c r="BQ75" s="807" t="e">
        <f>+(BO75/BM75)</f>
        <v>#DIV/0!</v>
      </c>
      <c r="BR75" s="807">
        <f t="shared" si="126"/>
        <v>0</v>
      </c>
      <c r="BS75" s="807" t="e">
        <f>+(BE75+AU75+BO75)/AO75</f>
        <v>#DIV/0!</v>
      </c>
      <c r="BT75" s="158" t="s">
        <v>1892</v>
      </c>
      <c r="BU75" s="1163">
        <v>0</v>
      </c>
      <c r="BV75" s="806" t="str">
        <f t="shared" si="127"/>
        <v>Poner a disposición de los funcionarios de la ADRES, elementos ergonómicos</v>
      </c>
      <c r="BW75" s="810">
        <f>+AO75</f>
        <v>0</v>
      </c>
      <c r="BX75" s="1150">
        <v>0</v>
      </c>
      <c r="BY75" s="1130">
        <v>0</v>
      </c>
      <c r="BZ75" s="805" t="e">
        <f t="shared" si="128"/>
        <v>#DIV/0!</v>
      </c>
      <c r="CA75" s="805" t="e">
        <f>+(BY75/BW75)</f>
        <v>#DIV/0!</v>
      </c>
      <c r="CB75" s="805">
        <f t="shared" si="133"/>
        <v>0</v>
      </c>
      <c r="CC75" s="805" t="e">
        <f>+(BE75+AU75+BO75+BY75)/AO75</f>
        <v>#DIV/0!</v>
      </c>
      <c r="CD75" s="682" t="s">
        <v>2050</v>
      </c>
      <c r="CE75" s="631" t="str">
        <f t="shared" si="129"/>
        <v>No Prog ni Ejec</v>
      </c>
      <c r="CF75" s="631" t="str">
        <f>IF(AND(AS75=0,AU75=0),"No Prog ni Ejec",IF(AS75=0,CONCATENATE("No Prog, Ejec=  ",AU75),AU75/AS75))</f>
        <v>No Prog ni Ejec</v>
      </c>
      <c r="CG75" s="631" t="str">
        <f t="shared" si="130"/>
        <v>No Prog ni Ejec</v>
      </c>
      <c r="CH75" s="631" t="str">
        <f>IF(AND(BC75=0,BE75=0),"No Prog ni Ejec",IF(BC75=0,CONCATENATE("No Prog, Ejec=  ",BE75),BE75/BC75))</f>
        <v>No Prog ni Ejec</v>
      </c>
      <c r="CI75" s="631" t="str">
        <f t="shared" si="131"/>
        <v>No Prog ni Ejec</v>
      </c>
      <c r="CJ75" s="631" t="str">
        <f>IF(AND(BM75=0,BO75=0),"No Prog ni Ejec",IF(BM75=0,CONCATENATE("No Prog, Ejec=  ",BO75),BO75/BM75))</f>
        <v>No Prog ni Ejec</v>
      </c>
      <c r="CK75" s="631" t="str">
        <f t="shared" si="132"/>
        <v>No Prog ni Ejec</v>
      </c>
      <c r="CL75" s="685" t="str">
        <f>IF(AND(BW75=0,BY75=0),"No Prog ni Ejec",IF(BW75=0,CONCATENATE("No Prog, Ejec=  ",BY75),BY75/BW75))</f>
        <v>No Prog ni Ejec</v>
      </c>
      <c r="CM75" s="127">
        <f t="shared" si="134"/>
        <v>0</v>
      </c>
      <c r="CY75" s="69">
        <v>8</v>
      </c>
      <c r="DB75" s="69">
        <v>11</v>
      </c>
    </row>
    <row r="76" spans="1:107" s="69" customFormat="1" ht="105.75" customHeight="1" x14ac:dyDescent="0.2">
      <c r="A76" s="684">
        <v>11700</v>
      </c>
      <c r="B76" s="627" t="s">
        <v>14</v>
      </c>
      <c r="C76" s="645" t="s">
        <v>500</v>
      </c>
      <c r="D76" s="645"/>
      <c r="E76" s="645"/>
      <c r="F76" s="645" t="s">
        <v>1017</v>
      </c>
      <c r="G76" s="645" t="s">
        <v>1017</v>
      </c>
      <c r="H76" s="645"/>
      <c r="I76" s="645"/>
      <c r="J76" s="645"/>
      <c r="K76" s="645"/>
      <c r="L76" s="645" t="s">
        <v>1017</v>
      </c>
      <c r="M76" s="645"/>
      <c r="N76" s="645"/>
      <c r="O76" s="645"/>
      <c r="P76" s="645"/>
      <c r="Q76" s="627" t="s">
        <v>204</v>
      </c>
      <c r="R76" s="627" t="s">
        <v>204</v>
      </c>
      <c r="S76" s="629" t="s">
        <v>238</v>
      </c>
      <c r="T76" s="627" t="s">
        <v>94</v>
      </c>
      <c r="U76" s="627" t="s">
        <v>204</v>
      </c>
      <c r="V76" s="627" t="s">
        <v>204</v>
      </c>
      <c r="W76" s="629" t="s">
        <v>793</v>
      </c>
      <c r="X76" s="627" t="s">
        <v>750</v>
      </c>
      <c r="Y76" s="60" t="s">
        <v>406</v>
      </c>
      <c r="Z76" s="844">
        <v>1</v>
      </c>
      <c r="AA76" s="814" t="s">
        <v>783</v>
      </c>
      <c r="AB76" s="806" t="s">
        <v>774</v>
      </c>
      <c r="AC76" s="812">
        <v>0</v>
      </c>
      <c r="AD76" s="811">
        <v>1</v>
      </c>
      <c r="AE76" s="806" t="s">
        <v>16</v>
      </c>
      <c r="AF76" s="806" t="s">
        <v>21</v>
      </c>
      <c r="AG76" s="806" t="s">
        <v>204</v>
      </c>
      <c r="AH76" s="806" t="s">
        <v>633</v>
      </c>
      <c r="AI76" s="806" t="s">
        <v>77</v>
      </c>
      <c r="AJ76" s="806" t="s">
        <v>1287</v>
      </c>
      <c r="AK76" s="806" t="s">
        <v>780</v>
      </c>
      <c r="AL76" s="806" t="s">
        <v>43</v>
      </c>
      <c r="AM76" s="844">
        <v>1</v>
      </c>
      <c r="AN76" s="806" t="str">
        <f t="shared" ref="AN76:AN77" si="136">+AB76</f>
        <v>Actualizar a los funcionarios en la normatividad vigente, referente a las reglas de cada subsistema y sus interrelaciones en el sistema de seguridad social, para dar cumplimiento a la misión de la entidad</v>
      </c>
      <c r="AO76" s="812">
        <f t="shared" si="135"/>
        <v>0</v>
      </c>
      <c r="AP76" s="836" t="s">
        <v>46</v>
      </c>
      <c r="AQ76" s="844">
        <v>0</v>
      </c>
      <c r="AR76" s="806" t="str">
        <f t="shared" si="118"/>
        <v>Actualizar a los funcionarios en la normatividad vigente, referente a las reglas de cada subsistema y sus interrelaciones en el sistema de seguridad social, para dar cumplimiento a la misión de la entidad</v>
      </c>
      <c r="AS76" s="846">
        <v>0</v>
      </c>
      <c r="AT76" s="814">
        <v>0</v>
      </c>
      <c r="AU76" s="810">
        <v>0</v>
      </c>
      <c r="AV76" s="807" t="e">
        <f t="shared" si="119"/>
        <v>#DIV/0!</v>
      </c>
      <c r="AW76" s="807" t="e">
        <f>+(AU76/AS76)</f>
        <v>#DIV/0!</v>
      </c>
      <c r="AX76" s="807">
        <f t="shared" si="120"/>
        <v>0</v>
      </c>
      <c r="AY76" s="807" t="e">
        <f>+(AU76/AO76)</f>
        <v>#DIV/0!</v>
      </c>
      <c r="AZ76" s="492" t="s">
        <v>1331</v>
      </c>
      <c r="BA76" s="844">
        <v>1</v>
      </c>
      <c r="BB76" s="806" t="str">
        <f t="shared" si="121"/>
        <v>Actualizar a los funcionarios en la normatividad vigente, referente a las reglas de cada subsistema y sus interrelaciones en el sistema de seguridad social, para dar cumplimiento a la misión de la entidad</v>
      </c>
      <c r="BC76" s="810">
        <f>+AO76</f>
        <v>0</v>
      </c>
      <c r="BD76" s="817">
        <v>0</v>
      </c>
      <c r="BE76" s="810">
        <v>0</v>
      </c>
      <c r="BF76" s="807">
        <f t="shared" si="122"/>
        <v>0</v>
      </c>
      <c r="BG76" s="807" t="e">
        <f>+(BE76/BC76)</f>
        <v>#DIV/0!</v>
      </c>
      <c r="BH76" s="807">
        <f t="shared" si="123"/>
        <v>0</v>
      </c>
      <c r="BI76" s="807" t="e">
        <f>+(BE76+AU76)/AO76</f>
        <v>#DIV/0!</v>
      </c>
      <c r="BJ76" s="808" t="s">
        <v>1632</v>
      </c>
      <c r="BK76" s="844">
        <v>0</v>
      </c>
      <c r="BL76" s="806" t="str">
        <f t="shared" si="124"/>
        <v>Actualizar a los funcionarios en la normatividad vigente, referente a las reglas de cada subsistema y sus interrelaciones en el sistema de seguridad social, para dar cumplimiento a la misión de la entidad</v>
      </c>
      <c r="BM76" s="810">
        <v>0</v>
      </c>
      <c r="BN76" s="949">
        <v>0</v>
      </c>
      <c r="BO76" s="946">
        <v>0</v>
      </c>
      <c r="BP76" s="807" t="e">
        <f t="shared" si="125"/>
        <v>#DIV/0!</v>
      </c>
      <c r="BQ76" s="807" t="e">
        <f>+(BO76/BM76)</f>
        <v>#DIV/0!</v>
      </c>
      <c r="BR76" s="807">
        <f t="shared" si="126"/>
        <v>0</v>
      </c>
      <c r="BS76" s="807" t="e">
        <f>+(BE76+AU76+BO76)/AO76</f>
        <v>#DIV/0!</v>
      </c>
      <c r="BT76" s="948" t="s">
        <v>1893</v>
      </c>
      <c r="BU76" s="844">
        <v>0</v>
      </c>
      <c r="BV76" s="806" t="str">
        <f t="shared" si="127"/>
        <v>Actualizar a los funcionarios en la normatividad vigente, referente a las reglas de cada subsistema y sus interrelaciones en el sistema de seguridad social, para dar cumplimiento a la misión de la entidad</v>
      </c>
      <c r="BW76" s="810">
        <v>0</v>
      </c>
      <c r="BX76" s="1132">
        <v>0</v>
      </c>
      <c r="BY76" s="1130">
        <v>0</v>
      </c>
      <c r="BZ76" s="805" t="e">
        <f t="shared" si="128"/>
        <v>#DIV/0!</v>
      </c>
      <c r="CA76" s="805" t="e">
        <f>+(BY76/BW76)</f>
        <v>#DIV/0!</v>
      </c>
      <c r="CB76" s="805">
        <f t="shared" si="133"/>
        <v>0</v>
      </c>
      <c r="CC76" s="805" t="e">
        <f>+(BE76+AU76+BO76+BY76)/AO76</f>
        <v>#DIV/0!</v>
      </c>
      <c r="CD76" s="682" t="s">
        <v>2053</v>
      </c>
      <c r="CE76" s="631" t="str">
        <f t="shared" si="129"/>
        <v>No Prog ni Ejec</v>
      </c>
      <c r="CF76" s="631" t="str">
        <f>IF(AND(AS76=0,AU76=0),"No Prog ni Ejec",IF(AS76=0,CONCATENATE("No Prog, Ejec=  ",AU76),AU76/AS76))</f>
        <v>No Prog ni Ejec</v>
      </c>
      <c r="CG76" s="631">
        <f t="shared" si="130"/>
        <v>0</v>
      </c>
      <c r="CH76" s="631" t="str">
        <f>IF(AND(BC76=0,BE76=0),"No Prog ni Ejec",IF(BC76=0,CONCATENATE("No Prog, Ejec=  ",BE76),BE76/BC76))</f>
        <v>No Prog ni Ejec</v>
      </c>
      <c r="CI76" s="631" t="str">
        <f t="shared" si="131"/>
        <v>No Prog ni Ejec</v>
      </c>
      <c r="CJ76" s="631" t="str">
        <f>IF(AND(BM76=0,BO76=0),"No Prog ni Ejec",IF(BM76=0,CONCATENATE("No Prog, Ejec=  ",BO76),BO76/BM76))</f>
        <v>No Prog ni Ejec</v>
      </c>
      <c r="CK76" s="631" t="str">
        <f t="shared" si="132"/>
        <v>No Prog ni Ejec</v>
      </c>
      <c r="CL76" s="685" t="str">
        <f>IF(AND(BW76=0,BY76=0),"No Prog ni Ejec",IF(BW76=0,CONCATENATE("No Prog, Ejec=  ",BY76),BY76/BW76))</f>
        <v>No Prog ni Ejec</v>
      </c>
      <c r="CM76" s="127">
        <f t="shared" si="134"/>
        <v>0</v>
      </c>
      <c r="CU76" s="69">
        <v>4</v>
      </c>
    </row>
    <row r="77" spans="1:107" s="69" customFormat="1" ht="112.5" customHeight="1" x14ac:dyDescent="0.2">
      <c r="A77" s="684">
        <v>11700</v>
      </c>
      <c r="B77" s="627" t="s">
        <v>14</v>
      </c>
      <c r="C77" s="645" t="s">
        <v>500</v>
      </c>
      <c r="D77" s="645"/>
      <c r="E77" s="645"/>
      <c r="F77" s="645" t="s">
        <v>1017</v>
      </c>
      <c r="G77" s="645" t="s">
        <v>1017</v>
      </c>
      <c r="H77" s="645"/>
      <c r="I77" s="645"/>
      <c r="J77" s="645"/>
      <c r="K77" s="645"/>
      <c r="L77" s="645" t="s">
        <v>1017</v>
      </c>
      <c r="M77" s="645"/>
      <c r="N77" s="645"/>
      <c r="O77" s="645"/>
      <c r="P77" s="645"/>
      <c r="Q77" s="627" t="s">
        <v>204</v>
      </c>
      <c r="R77" s="627" t="s">
        <v>204</v>
      </c>
      <c r="S77" s="629" t="s">
        <v>238</v>
      </c>
      <c r="T77" s="627" t="s">
        <v>94</v>
      </c>
      <c r="U77" s="627" t="s">
        <v>204</v>
      </c>
      <c r="V77" s="627" t="s">
        <v>204</v>
      </c>
      <c r="W77" s="629" t="s">
        <v>794</v>
      </c>
      <c r="X77" s="627" t="s">
        <v>751</v>
      </c>
      <c r="Y77" s="60" t="s">
        <v>406</v>
      </c>
      <c r="Z77" s="844">
        <v>1</v>
      </c>
      <c r="AA77" s="814" t="s">
        <v>784</v>
      </c>
      <c r="AB77" s="806" t="s">
        <v>775</v>
      </c>
      <c r="AC77" s="812">
        <v>0</v>
      </c>
      <c r="AD77" s="811">
        <v>1</v>
      </c>
      <c r="AE77" s="806" t="s">
        <v>16</v>
      </c>
      <c r="AF77" s="806" t="s">
        <v>21</v>
      </c>
      <c r="AG77" s="806" t="s">
        <v>204</v>
      </c>
      <c r="AH77" s="806" t="s">
        <v>633</v>
      </c>
      <c r="AI77" s="806" t="s">
        <v>77</v>
      </c>
      <c r="AJ77" s="806" t="s">
        <v>1287</v>
      </c>
      <c r="AK77" s="806" t="s">
        <v>780</v>
      </c>
      <c r="AL77" s="806" t="s">
        <v>43</v>
      </c>
      <c r="AM77" s="844">
        <v>1</v>
      </c>
      <c r="AN77" s="806" t="str">
        <f t="shared" si="136"/>
        <v>Fortalecer los conocimientos de los funcionarios referente a los beneficios  económicos y legales al ser servidores públicos.</v>
      </c>
      <c r="AO77" s="812">
        <f t="shared" si="135"/>
        <v>0</v>
      </c>
      <c r="AP77" s="836" t="s">
        <v>46</v>
      </c>
      <c r="AQ77" s="844">
        <v>0</v>
      </c>
      <c r="AR77" s="806" t="str">
        <f t="shared" ref="AR77:AR92" si="137">+AN77</f>
        <v>Fortalecer los conocimientos de los funcionarios referente a los beneficios  económicos y legales al ser servidores públicos.</v>
      </c>
      <c r="AS77" s="846">
        <v>0</v>
      </c>
      <c r="AT77" s="814">
        <v>0</v>
      </c>
      <c r="AU77" s="810">
        <v>0</v>
      </c>
      <c r="AV77" s="807" t="e">
        <f t="shared" ref="AV77:AV93" si="138">+(AT77/AQ77)</f>
        <v>#DIV/0!</v>
      </c>
      <c r="AW77" s="807" t="e">
        <f t="shared" ref="AW77:AW93" si="139">+(AU77/AS77)</f>
        <v>#DIV/0!</v>
      </c>
      <c r="AX77" s="807">
        <f t="shared" ref="AX77:AX93" si="140">+(AT77/AM77)</f>
        <v>0</v>
      </c>
      <c r="AY77" s="807" t="e">
        <f t="shared" ref="AY77:AY93" si="141">+(AU77/AO77)</f>
        <v>#DIV/0!</v>
      </c>
      <c r="AZ77" s="492" t="s">
        <v>1331</v>
      </c>
      <c r="BA77" s="844">
        <v>0</v>
      </c>
      <c r="BB77" s="806" t="str">
        <f t="shared" ref="BB77:BB92" si="142">+AN77</f>
        <v>Fortalecer los conocimientos de los funcionarios referente a los beneficios  económicos y legales al ser servidores públicos.</v>
      </c>
      <c r="BC77" s="810">
        <v>0</v>
      </c>
      <c r="BD77" s="817">
        <v>0</v>
      </c>
      <c r="BE77" s="810">
        <v>0</v>
      </c>
      <c r="BF77" s="807" t="e">
        <f t="shared" ref="BF77:BF93" si="143">+(BD77/BA77)</f>
        <v>#DIV/0!</v>
      </c>
      <c r="BG77" s="807" t="e">
        <f t="shared" ref="BG77:BG93" si="144">+(BE77/BC77)</f>
        <v>#DIV/0!</v>
      </c>
      <c r="BH77" s="807">
        <f t="shared" ref="BH77:BH93" si="145">+(BD77+AT77)/AM77</f>
        <v>0</v>
      </c>
      <c r="BI77" s="807" t="e">
        <f t="shared" ref="BI77:BI93" si="146">+(BE77+AU77)/AO77</f>
        <v>#DIV/0!</v>
      </c>
      <c r="BJ77" s="809" t="s">
        <v>1375</v>
      </c>
      <c r="BK77" s="844">
        <v>1</v>
      </c>
      <c r="BL77" s="806" t="str">
        <f t="shared" ref="BL77:BL92" si="147">+AN77</f>
        <v>Fortalecer los conocimientos de los funcionarios referente a los beneficios  económicos y legales al ser servidores públicos.</v>
      </c>
      <c r="BM77" s="810">
        <f>+AO77</f>
        <v>0</v>
      </c>
      <c r="BN77" s="949">
        <v>1</v>
      </c>
      <c r="BO77" s="946">
        <v>0</v>
      </c>
      <c r="BP77" s="807">
        <f t="shared" ref="BP77:BP93" si="148">+(BN77/BK77)</f>
        <v>1</v>
      </c>
      <c r="BQ77" s="807" t="e">
        <f t="shared" ref="BQ77:BQ93" si="149">+(BO77/BM77)</f>
        <v>#DIV/0!</v>
      </c>
      <c r="BR77" s="807">
        <f t="shared" ref="BR77:BR93" si="150">+(BD77+AT77+BN77)/AM77</f>
        <v>1</v>
      </c>
      <c r="BS77" s="807" t="e">
        <f t="shared" ref="BS77:BS93" si="151">+(BE77+AU77+BO77)/AO77</f>
        <v>#DIV/0!</v>
      </c>
      <c r="BT77" s="948" t="s">
        <v>1894</v>
      </c>
      <c r="BU77" s="844">
        <v>0</v>
      </c>
      <c r="BV77" s="806" t="str">
        <f t="shared" ref="BV77:BV92" si="152">+AN77</f>
        <v>Fortalecer los conocimientos de los funcionarios referente a los beneficios  económicos y legales al ser servidores públicos.</v>
      </c>
      <c r="BW77" s="810">
        <v>0</v>
      </c>
      <c r="BX77" s="1132">
        <v>0</v>
      </c>
      <c r="BY77" s="1130">
        <v>0</v>
      </c>
      <c r="BZ77" s="805" t="e">
        <f t="shared" ref="BZ77:BZ93" si="153">+(BX77/BU77)</f>
        <v>#DIV/0!</v>
      </c>
      <c r="CA77" s="805" t="e">
        <f t="shared" ref="CA77:CA93" si="154">+(BY77/BW77)</f>
        <v>#DIV/0!</v>
      </c>
      <c r="CB77" s="805">
        <f t="shared" ref="CB77:CB93" si="155">+(BD77+AT77+BN77+BX77)/AM77</f>
        <v>1</v>
      </c>
      <c r="CC77" s="805" t="e">
        <f t="shared" ref="CC77:CC93" si="156">+(BE77+AU77+BO77+BY77)/AO77</f>
        <v>#DIV/0!</v>
      </c>
      <c r="CD77" s="682" t="s">
        <v>1375</v>
      </c>
      <c r="CE77" s="631" t="str">
        <f t="shared" ref="CE77:CE117" si="157">IF(AND(AQ77=0,AT77=0),"No Prog ni Ejec",IF(AQ77=0,CONCATENATE("No Prog, Ejec=  ",AT77),AT77/AQ77))</f>
        <v>No Prog ni Ejec</v>
      </c>
      <c r="CF77" s="631" t="str">
        <f t="shared" ref="CF77:CF117" si="158">IF(AND(AS77=0,AU77=0),"No Prog ni Ejec",IF(AS77=0,CONCATENATE("No Prog, Ejec=  ",AU77),AU77/AS77))</f>
        <v>No Prog ni Ejec</v>
      </c>
      <c r="CG77" s="631" t="str">
        <f t="shared" ref="CG77:CG117" si="159">IF(AND(BA77=0,BD77=0),"No Prog ni Ejec",IF(BA77=0,CONCATENATE("No Prog, Ejec=  ",BD77),BD77/BA77))</f>
        <v>No Prog ni Ejec</v>
      </c>
      <c r="CH77" s="631" t="str">
        <f t="shared" ref="CH77:CH117" si="160">IF(AND(BC77=0,BE77=0),"No Prog ni Ejec",IF(BC77=0,CONCATENATE("No Prog, Ejec=  ",BE77),BE77/BC77))</f>
        <v>No Prog ni Ejec</v>
      </c>
      <c r="CI77" s="631">
        <f t="shared" ref="CI77:CI117" si="161">IF(AND(BK77=0,BN77=0),"No Prog ni Ejec",IF(BK77=0,CONCATENATE("No Prog, Ejec=  ",BN77),BN77/BK77))</f>
        <v>1</v>
      </c>
      <c r="CJ77" s="631" t="str">
        <f t="shared" ref="CJ77:CJ117" si="162">IF(AND(BM77=0,BO77=0),"No Prog ni Ejec",IF(BM77=0,CONCATENATE("No Prog, Ejec=  ",BO77),BO77/BM77))</f>
        <v>No Prog ni Ejec</v>
      </c>
      <c r="CK77" s="631" t="str">
        <f t="shared" ref="CK77:CK117" si="163">IF(AND(BU77=0,BX77=0),"No Prog ni Ejec",IF(BU77=0,CONCATENATE("No Prog, Ejec=  ",BX77),BX77/BU77))</f>
        <v>No Prog ni Ejec</v>
      </c>
      <c r="CL77" s="685" t="str">
        <f t="shared" ref="CL77:CL117" si="164">IF(AND(BW77=0,BY77=0),"No Prog ni Ejec",IF(BW77=0,CONCATENATE("No Prog, Ejec=  ",BY77),BY77/BW77))</f>
        <v>No Prog ni Ejec</v>
      </c>
      <c r="CM77" s="127">
        <f t="shared" si="134"/>
        <v>0</v>
      </c>
      <c r="CU77" s="69">
        <v>4</v>
      </c>
    </row>
    <row r="78" spans="1:107" s="69" customFormat="1" ht="106.5" customHeight="1" x14ac:dyDescent="0.2">
      <c r="A78" s="684">
        <v>11700</v>
      </c>
      <c r="B78" s="627" t="s">
        <v>14</v>
      </c>
      <c r="C78" s="645" t="s">
        <v>500</v>
      </c>
      <c r="D78" s="645"/>
      <c r="E78" s="645"/>
      <c r="F78" s="645" t="s">
        <v>1017</v>
      </c>
      <c r="G78" s="645" t="s">
        <v>1017</v>
      </c>
      <c r="H78" s="645"/>
      <c r="I78" s="645"/>
      <c r="J78" s="645"/>
      <c r="K78" s="645"/>
      <c r="L78" s="645" t="s">
        <v>1017</v>
      </c>
      <c r="M78" s="645"/>
      <c r="N78" s="645"/>
      <c r="O78" s="645"/>
      <c r="P78" s="645"/>
      <c r="Q78" s="627" t="s">
        <v>204</v>
      </c>
      <c r="R78" s="627" t="s">
        <v>204</v>
      </c>
      <c r="S78" s="629" t="s">
        <v>238</v>
      </c>
      <c r="T78" s="627" t="s">
        <v>94</v>
      </c>
      <c r="U78" s="627" t="s">
        <v>204</v>
      </c>
      <c r="V78" s="627" t="s">
        <v>204</v>
      </c>
      <c r="W78" s="814" t="s">
        <v>795</v>
      </c>
      <c r="X78" s="627" t="s">
        <v>755</v>
      </c>
      <c r="Y78" s="60" t="s">
        <v>406</v>
      </c>
      <c r="Z78" s="844">
        <v>1</v>
      </c>
      <c r="AA78" s="814" t="s">
        <v>785</v>
      </c>
      <c r="AB78" s="806" t="s">
        <v>776</v>
      </c>
      <c r="AC78" s="812">
        <v>0</v>
      </c>
      <c r="AD78" s="811">
        <v>1</v>
      </c>
      <c r="AE78" s="806" t="s">
        <v>16</v>
      </c>
      <c r="AF78" s="806" t="s">
        <v>21</v>
      </c>
      <c r="AG78" s="806" t="s">
        <v>204</v>
      </c>
      <c r="AH78" s="806" t="s">
        <v>633</v>
      </c>
      <c r="AI78" s="806" t="s">
        <v>77</v>
      </c>
      <c r="AJ78" s="806" t="s">
        <v>1287</v>
      </c>
      <c r="AK78" s="806" t="s">
        <v>780</v>
      </c>
      <c r="AL78" s="806" t="s">
        <v>43</v>
      </c>
      <c r="AM78" s="844">
        <v>1</v>
      </c>
      <c r="AN78" s="806" t="str">
        <f>+AB78</f>
        <v>Lograr que los funcionarios identifiquen los lineamientos esenciales, para construir una oferta favorable, que conlleve a los resultados esperados  en cada contratación y les facilite el desarrollo de  cada proceso de la entidad</v>
      </c>
      <c r="AO78" s="812">
        <f t="shared" si="135"/>
        <v>0</v>
      </c>
      <c r="AP78" s="836" t="s">
        <v>46</v>
      </c>
      <c r="AQ78" s="844">
        <v>0</v>
      </c>
      <c r="AR78" s="806" t="str">
        <f>+AN78</f>
        <v>Lograr que los funcionarios identifiquen los lineamientos esenciales, para construir una oferta favorable, que conlleve a los resultados esperados  en cada contratación y les facilite el desarrollo de  cada proceso de la entidad</v>
      </c>
      <c r="AS78" s="846">
        <v>0</v>
      </c>
      <c r="AT78" s="814">
        <v>0</v>
      </c>
      <c r="AU78" s="810">
        <v>0</v>
      </c>
      <c r="AV78" s="807" t="e">
        <f>+(AT78/AQ78)</f>
        <v>#DIV/0!</v>
      </c>
      <c r="AW78" s="807" t="e">
        <f>+(AU78/AS78)</f>
        <v>#DIV/0!</v>
      </c>
      <c r="AX78" s="807">
        <f>+(AT78/AM78)</f>
        <v>0</v>
      </c>
      <c r="AY78" s="807" t="e">
        <f>+(AU78/AO78)</f>
        <v>#DIV/0!</v>
      </c>
      <c r="AZ78" s="492" t="s">
        <v>1331</v>
      </c>
      <c r="BA78" s="844">
        <v>0</v>
      </c>
      <c r="BB78" s="806" t="str">
        <f>+AN78</f>
        <v>Lograr que los funcionarios identifiquen los lineamientos esenciales, para construir una oferta favorable, que conlleve a los resultados esperados  en cada contratación y les facilite el desarrollo de  cada proceso de la entidad</v>
      </c>
      <c r="BC78" s="810">
        <v>0</v>
      </c>
      <c r="BD78" s="817">
        <v>0</v>
      </c>
      <c r="BE78" s="810">
        <v>0</v>
      </c>
      <c r="BF78" s="807" t="e">
        <f>+(BD78/BA78)</f>
        <v>#DIV/0!</v>
      </c>
      <c r="BG78" s="807" t="e">
        <f>+(BE78/BC78)</f>
        <v>#DIV/0!</v>
      </c>
      <c r="BH78" s="807">
        <f>+(BD78+AT78)/AM78</f>
        <v>0</v>
      </c>
      <c r="BI78" s="807" t="e">
        <f>+(BE78+AU78)/AO78</f>
        <v>#DIV/0!</v>
      </c>
      <c r="BJ78" s="809" t="s">
        <v>1375</v>
      </c>
      <c r="BK78" s="844">
        <v>1</v>
      </c>
      <c r="BL78" s="806" t="str">
        <f>+AN78</f>
        <v>Lograr que los funcionarios identifiquen los lineamientos esenciales, para construir una oferta favorable, que conlleve a los resultados esperados  en cada contratación y les facilite el desarrollo de  cada proceso de la entidad</v>
      </c>
      <c r="BM78" s="810">
        <f>+AO78</f>
        <v>0</v>
      </c>
      <c r="BN78" s="949">
        <v>1</v>
      </c>
      <c r="BO78" s="946">
        <v>0</v>
      </c>
      <c r="BP78" s="807">
        <f>+(BN78/BK78)</f>
        <v>1</v>
      </c>
      <c r="BQ78" s="807" t="e">
        <f>+(BO78/BM78)</f>
        <v>#DIV/0!</v>
      </c>
      <c r="BR78" s="807">
        <f>+(BD78+AT78+BN78)/AM78</f>
        <v>1</v>
      </c>
      <c r="BS78" s="807" t="e">
        <f>+(BE78+AU78+BO78)/AO78</f>
        <v>#DIV/0!</v>
      </c>
      <c r="BT78" s="948" t="s">
        <v>1895</v>
      </c>
      <c r="BU78" s="844">
        <v>0</v>
      </c>
      <c r="BV78" s="806" t="str">
        <f>+AN78</f>
        <v>Lograr que los funcionarios identifiquen los lineamientos esenciales, para construir una oferta favorable, que conlleve a los resultados esperados  en cada contratación y les facilite el desarrollo de  cada proceso de la entidad</v>
      </c>
      <c r="BW78" s="810">
        <v>0</v>
      </c>
      <c r="BX78" s="1132">
        <v>0</v>
      </c>
      <c r="BY78" s="1130">
        <v>0</v>
      </c>
      <c r="BZ78" s="805" t="e">
        <f>+(BX78/BU78)</f>
        <v>#DIV/0!</v>
      </c>
      <c r="CA78" s="805" t="e">
        <f>+(BY78/BW78)</f>
        <v>#DIV/0!</v>
      </c>
      <c r="CB78" s="805">
        <f>+(BD78+AT78+BN78+BX78)/AM78</f>
        <v>1</v>
      </c>
      <c r="CC78" s="805" t="e">
        <f>+(BE78+AU78+BO78+BY78)/AO78</f>
        <v>#DIV/0!</v>
      </c>
      <c r="CD78" s="682" t="s">
        <v>1375</v>
      </c>
      <c r="CE78" s="631" t="str">
        <f>IF(AND(AQ78=0,AT78=0),"No Prog ni Ejec",IF(AQ78=0,CONCATENATE("No Prog, Ejec=  ",AT78),AT78/AQ78))</f>
        <v>No Prog ni Ejec</v>
      </c>
      <c r="CF78" s="631" t="str">
        <f>IF(AND(AS78=0,AU78=0),"No Prog ni Ejec",IF(AS78=0,CONCATENATE("No Prog, Ejec=  ",AU78),AU78/AS78))</f>
        <v>No Prog ni Ejec</v>
      </c>
      <c r="CG78" s="631" t="str">
        <f>IF(AND(BA78=0,BD78=0),"No Prog ni Ejec",IF(BA78=0,CONCATENATE("No Prog, Ejec=  ",BD78),BD78/BA78))</f>
        <v>No Prog ni Ejec</v>
      </c>
      <c r="CH78" s="631" t="str">
        <f>IF(AND(BC78=0,BE78=0),"No Prog ni Ejec",IF(BC78=0,CONCATENATE("No Prog, Ejec=  ",BE78),BE78/BC78))</f>
        <v>No Prog ni Ejec</v>
      </c>
      <c r="CI78" s="631">
        <f>IF(AND(BK78=0,BN78=0),"No Prog ni Ejec",IF(BK78=0,CONCATENATE("No Prog, Ejec=  ",BN78),BN78/BK78))</f>
        <v>1</v>
      </c>
      <c r="CJ78" s="631" t="str">
        <f>IF(AND(BM78=0,BO78=0),"No Prog ni Ejec",IF(BM78=0,CONCATENATE("No Prog, Ejec=  ",BO78),BO78/BM78))</f>
        <v>No Prog ni Ejec</v>
      </c>
      <c r="CK78" s="631" t="str">
        <f>IF(AND(BU78=0,BX78=0),"No Prog ni Ejec",IF(BU78=0,CONCATENATE("No Prog, Ejec=  ",BX78),BX78/BU78))</f>
        <v>No Prog ni Ejec</v>
      </c>
      <c r="CL78" s="685" t="str">
        <f>IF(AND(BW78=0,BY78=0),"No Prog ni Ejec",IF(BW78=0,CONCATENATE("No Prog, Ejec=  ",BY78),BY78/BW78))</f>
        <v>No Prog ni Ejec</v>
      </c>
      <c r="CM78" s="127">
        <f>+AC78-AS78-BC78-BM78-BW78</f>
        <v>0</v>
      </c>
      <c r="CU78" s="69">
        <v>4</v>
      </c>
    </row>
    <row r="79" spans="1:107" s="69" customFormat="1" ht="89.25" customHeight="1" x14ac:dyDescent="0.2">
      <c r="A79" s="684">
        <v>11700</v>
      </c>
      <c r="B79" s="627" t="s">
        <v>14</v>
      </c>
      <c r="C79" s="645" t="s">
        <v>500</v>
      </c>
      <c r="D79" s="645"/>
      <c r="E79" s="645"/>
      <c r="F79" s="645" t="s">
        <v>1017</v>
      </c>
      <c r="G79" s="645" t="s">
        <v>1017</v>
      </c>
      <c r="H79" s="645"/>
      <c r="I79" s="645"/>
      <c r="J79" s="645"/>
      <c r="K79" s="645"/>
      <c r="L79" s="645" t="s">
        <v>1017</v>
      </c>
      <c r="M79" s="645"/>
      <c r="N79" s="645"/>
      <c r="O79" s="645"/>
      <c r="P79" s="645"/>
      <c r="Q79" s="627" t="s">
        <v>204</v>
      </c>
      <c r="R79" s="627" t="s">
        <v>204</v>
      </c>
      <c r="S79" s="629" t="s">
        <v>238</v>
      </c>
      <c r="T79" s="627" t="s">
        <v>94</v>
      </c>
      <c r="U79" s="627" t="s">
        <v>204</v>
      </c>
      <c r="V79" s="627" t="s">
        <v>204</v>
      </c>
      <c r="W79" s="814" t="s">
        <v>796</v>
      </c>
      <c r="X79" s="627" t="s">
        <v>756</v>
      </c>
      <c r="Y79" s="60" t="s">
        <v>406</v>
      </c>
      <c r="Z79" s="844">
        <v>1</v>
      </c>
      <c r="AA79" s="814" t="s">
        <v>786</v>
      </c>
      <c r="AB79" s="806" t="s">
        <v>777</v>
      </c>
      <c r="AC79" s="812">
        <v>0</v>
      </c>
      <c r="AD79" s="811">
        <v>1</v>
      </c>
      <c r="AE79" s="806" t="s">
        <v>16</v>
      </c>
      <c r="AF79" s="806" t="s">
        <v>21</v>
      </c>
      <c r="AG79" s="806" t="s">
        <v>204</v>
      </c>
      <c r="AH79" s="806" t="s">
        <v>633</v>
      </c>
      <c r="AI79" s="806" t="s">
        <v>77</v>
      </c>
      <c r="AJ79" s="806" t="s">
        <v>1287</v>
      </c>
      <c r="AK79" s="806" t="s">
        <v>780</v>
      </c>
      <c r="AL79" s="806" t="s">
        <v>43</v>
      </c>
      <c r="AM79" s="844">
        <v>1</v>
      </c>
      <c r="AN79" s="806" t="str">
        <f>+AB79</f>
        <v>Dar cumplimiento al Decreto 1072 de 2015, relacionado con el programa de seguridad y salud en el trabajo.</v>
      </c>
      <c r="AO79" s="812">
        <f t="shared" si="135"/>
        <v>0</v>
      </c>
      <c r="AP79" s="836" t="s">
        <v>46</v>
      </c>
      <c r="AQ79" s="844">
        <v>0</v>
      </c>
      <c r="AR79" s="806" t="str">
        <f>+AN79</f>
        <v>Dar cumplimiento al Decreto 1072 de 2015, relacionado con el programa de seguridad y salud en el trabajo.</v>
      </c>
      <c r="AS79" s="846">
        <v>0</v>
      </c>
      <c r="AT79" s="814">
        <v>0</v>
      </c>
      <c r="AU79" s="810">
        <v>0</v>
      </c>
      <c r="AV79" s="807" t="e">
        <f>+(AT79/AQ79)</f>
        <v>#DIV/0!</v>
      </c>
      <c r="AW79" s="807" t="e">
        <f>+(AU79/AS79)</f>
        <v>#DIV/0!</v>
      </c>
      <c r="AX79" s="807">
        <f>+(AT79/AM79)</f>
        <v>0</v>
      </c>
      <c r="AY79" s="807" t="e">
        <f>+(AU79/AO79)</f>
        <v>#DIV/0!</v>
      </c>
      <c r="AZ79" s="492" t="s">
        <v>1331</v>
      </c>
      <c r="BA79" s="844">
        <v>0</v>
      </c>
      <c r="BB79" s="806" t="str">
        <f>+AN79</f>
        <v>Dar cumplimiento al Decreto 1072 de 2015, relacionado con el programa de seguridad y salud en el trabajo.</v>
      </c>
      <c r="BC79" s="810">
        <v>0</v>
      </c>
      <c r="BD79" s="817">
        <v>0</v>
      </c>
      <c r="BE79" s="810">
        <v>0</v>
      </c>
      <c r="BF79" s="807" t="e">
        <f>+(BD79/BA79)</f>
        <v>#DIV/0!</v>
      </c>
      <c r="BG79" s="807" t="e">
        <f>+(BE79/BC79)</f>
        <v>#DIV/0!</v>
      </c>
      <c r="BH79" s="807">
        <f>+(BD79+AT79)/AM79</f>
        <v>0</v>
      </c>
      <c r="BI79" s="807" t="e">
        <f>+(BE79+AU79)/AO79</f>
        <v>#DIV/0!</v>
      </c>
      <c r="BJ79" s="809" t="s">
        <v>1375</v>
      </c>
      <c r="BK79" s="844">
        <v>0</v>
      </c>
      <c r="BL79" s="806" t="str">
        <f>+AN79</f>
        <v>Dar cumplimiento al Decreto 1072 de 2015, relacionado con el programa de seguridad y salud en el trabajo.</v>
      </c>
      <c r="BM79" s="810">
        <v>0</v>
      </c>
      <c r="BN79" s="949">
        <v>0</v>
      </c>
      <c r="BO79" s="946">
        <v>0</v>
      </c>
      <c r="BP79" s="807" t="e">
        <f>+(BN79/BK79)</f>
        <v>#DIV/0!</v>
      </c>
      <c r="BQ79" s="807" t="e">
        <f>+(BO79/BM79)</f>
        <v>#DIV/0!</v>
      </c>
      <c r="BR79" s="807">
        <f>+(BD79+AT79+BN79)/AM79</f>
        <v>0</v>
      </c>
      <c r="BS79" s="807" t="e">
        <f>+(BE79+AU79+BO79)/AO79</f>
        <v>#DIV/0!</v>
      </c>
      <c r="BT79" s="945" t="s">
        <v>1375</v>
      </c>
      <c r="BU79" s="844">
        <v>1</v>
      </c>
      <c r="BV79" s="806" t="str">
        <f>+AN79</f>
        <v>Dar cumplimiento al Decreto 1072 de 2015, relacionado con el programa de seguridad y salud en el trabajo.</v>
      </c>
      <c r="BW79" s="810">
        <f>+AO79</f>
        <v>0</v>
      </c>
      <c r="BX79" s="1170">
        <v>0</v>
      </c>
      <c r="BY79" s="1130">
        <v>0</v>
      </c>
      <c r="BZ79" s="805">
        <f>+(BX79/BU79)</f>
        <v>0</v>
      </c>
      <c r="CA79" s="805" t="e">
        <f>+(BY79/BW79)</f>
        <v>#DIV/0!</v>
      </c>
      <c r="CB79" s="805">
        <f>+(BD79+AT79+BN79+BX79)/AM79</f>
        <v>0</v>
      </c>
      <c r="CC79" s="805" t="e">
        <f>+(BE79+AU79+BO79+BY79)/AO79</f>
        <v>#DIV/0!</v>
      </c>
      <c r="CD79" s="1171" t="s">
        <v>2094</v>
      </c>
      <c r="CE79" s="631" t="str">
        <f>IF(AND(AQ79=0,AT79=0),"No Prog ni Ejec",IF(AQ79=0,CONCATENATE("No Prog, Ejec=  ",AT79),AT79/AQ79))</f>
        <v>No Prog ni Ejec</v>
      </c>
      <c r="CF79" s="631" t="str">
        <f>IF(AND(AS79=0,AU79=0),"No Prog ni Ejec",IF(AS79=0,CONCATENATE("No Prog, Ejec=  ",AU79),AU79/AS79))</f>
        <v>No Prog ni Ejec</v>
      </c>
      <c r="CG79" s="631" t="str">
        <f>IF(AND(BA79=0,BD79=0),"No Prog ni Ejec",IF(BA79=0,CONCATENATE("No Prog, Ejec=  ",BD79),BD79/BA79))</f>
        <v>No Prog ni Ejec</v>
      </c>
      <c r="CH79" s="631" t="str">
        <f>IF(AND(BC79=0,BE79=0),"No Prog ni Ejec",IF(BC79=0,CONCATENATE("No Prog, Ejec=  ",BE79),BE79/BC79))</f>
        <v>No Prog ni Ejec</v>
      </c>
      <c r="CI79" s="631" t="str">
        <f>IF(AND(BK79=0,BN79=0),"No Prog ni Ejec",IF(BK79=0,CONCATENATE("No Prog, Ejec=  ",BN79),BN79/BK79))</f>
        <v>No Prog ni Ejec</v>
      </c>
      <c r="CJ79" s="631" t="str">
        <f>IF(AND(BM79=0,BO79=0),"No Prog ni Ejec",IF(BM79=0,CONCATENATE("No Prog, Ejec=  ",BO79),BO79/BM79))</f>
        <v>No Prog ni Ejec</v>
      </c>
      <c r="CK79" s="631">
        <f>IF(AND(BU79=0,BX79=0),"No Prog ni Ejec",IF(BU79=0,CONCATENATE("No Prog, Ejec=  ",BX79),BX79/BU79))</f>
        <v>0</v>
      </c>
      <c r="CL79" s="685" t="str">
        <f>IF(AND(BW79=0,BY79=0),"No Prog ni Ejec",IF(BW79=0,CONCATENATE("No Prog, Ejec=  ",BY79),BY79/BW79))</f>
        <v>No Prog ni Ejec</v>
      </c>
      <c r="CM79" s="127">
        <f>+AC79-AS79-BC79-BM79-BW79</f>
        <v>0</v>
      </c>
      <c r="CU79" s="69">
        <v>4</v>
      </c>
    </row>
    <row r="80" spans="1:107" s="69" customFormat="1" ht="89.25" customHeight="1" x14ac:dyDescent="0.2">
      <c r="A80" s="684">
        <v>11700</v>
      </c>
      <c r="B80" s="627" t="s">
        <v>14</v>
      </c>
      <c r="C80" s="645" t="s">
        <v>500</v>
      </c>
      <c r="D80" s="645"/>
      <c r="E80" s="645"/>
      <c r="F80" s="645" t="s">
        <v>1017</v>
      </c>
      <c r="G80" s="645" t="s">
        <v>1017</v>
      </c>
      <c r="H80" s="645"/>
      <c r="I80" s="645"/>
      <c r="J80" s="645"/>
      <c r="K80" s="645"/>
      <c r="L80" s="645" t="s">
        <v>1017</v>
      </c>
      <c r="M80" s="645"/>
      <c r="N80" s="645"/>
      <c r="O80" s="645"/>
      <c r="P80" s="645"/>
      <c r="Q80" s="627" t="s">
        <v>204</v>
      </c>
      <c r="R80" s="627" t="s">
        <v>204</v>
      </c>
      <c r="S80" s="629" t="s">
        <v>238</v>
      </c>
      <c r="T80" s="627" t="s">
        <v>94</v>
      </c>
      <c r="U80" s="627" t="s">
        <v>204</v>
      </c>
      <c r="V80" s="627" t="s">
        <v>204</v>
      </c>
      <c r="W80" s="814" t="s">
        <v>797</v>
      </c>
      <c r="X80" s="627" t="s">
        <v>752</v>
      </c>
      <c r="Y80" s="60" t="s">
        <v>406</v>
      </c>
      <c r="Z80" s="1376">
        <v>6</v>
      </c>
      <c r="AA80" s="1214" t="s">
        <v>787</v>
      </c>
      <c r="AB80" s="1201" t="s">
        <v>1549</v>
      </c>
      <c r="AC80" s="1283">
        <v>248814552</v>
      </c>
      <c r="AD80" s="811">
        <v>1</v>
      </c>
      <c r="AE80" s="806" t="s">
        <v>16</v>
      </c>
      <c r="AF80" s="806" t="s">
        <v>21</v>
      </c>
      <c r="AG80" s="806" t="s">
        <v>204</v>
      </c>
      <c r="AH80" s="806" t="s">
        <v>633</v>
      </c>
      <c r="AI80" s="806" t="s">
        <v>77</v>
      </c>
      <c r="AJ80" s="806" t="s">
        <v>1287</v>
      </c>
      <c r="AK80" s="1280" t="s">
        <v>780</v>
      </c>
      <c r="AL80" s="806" t="s">
        <v>43</v>
      </c>
      <c r="AM80" s="1376">
        <v>6</v>
      </c>
      <c r="AN80" s="1201"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283">
        <f t="shared" si="135"/>
        <v>248814552</v>
      </c>
      <c r="AP80" s="836" t="s">
        <v>46</v>
      </c>
      <c r="AQ80" s="1376">
        <v>0</v>
      </c>
      <c r="AR80" s="1280" t="str">
        <f t="shared" si="13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385">
        <v>0</v>
      </c>
      <c r="AT80" s="1214">
        <v>0</v>
      </c>
      <c r="AU80" s="1256">
        <v>0</v>
      </c>
      <c r="AV80" s="1196" t="e">
        <f t="shared" si="138"/>
        <v>#DIV/0!</v>
      </c>
      <c r="AW80" s="1196" t="e">
        <f>+(AU80/AS80)</f>
        <v>#DIV/0!</v>
      </c>
      <c r="AX80" s="1196">
        <f t="shared" si="140"/>
        <v>0</v>
      </c>
      <c r="AY80" s="1196">
        <f t="shared" si="141"/>
        <v>0</v>
      </c>
      <c r="AZ80" s="1294" t="s">
        <v>1331</v>
      </c>
      <c r="BA80" s="1376">
        <v>1</v>
      </c>
      <c r="BB80" s="1280" t="str">
        <f t="shared" si="14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256">
        <f>+AO80/6</f>
        <v>41469092</v>
      </c>
      <c r="BD80" s="1214">
        <v>1</v>
      </c>
      <c r="BE80" s="1205">
        <v>47992820</v>
      </c>
      <c r="BF80" s="1196">
        <f t="shared" si="143"/>
        <v>1</v>
      </c>
      <c r="BG80" s="1196">
        <f t="shared" si="144"/>
        <v>1.1573154290429122</v>
      </c>
      <c r="BH80" s="1196">
        <f t="shared" si="145"/>
        <v>0.16666666666666666</v>
      </c>
      <c r="BI80" s="1196">
        <f t="shared" si="146"/>
        <v>0.19288590484048537</v>
      </c>
      <c r="BJ80" s="1203" t="s">
        <v>1633</v>
      </c>
      <c r="BK80" s="1376">
        <v>3</v>
      </c>
      <c r="BL80" s="1280" t="str">
        <f t="shared" si="14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256">
        <f>(AO80/6)*3</f>
        <v>124407276</v>
      </c>
      <c r="BN80" s="1214">
        <v>3</v>
      </c>
      <c r="BO80" s="1256">
        <f>38285112+37085860+37085860</f>
        <v>112456832</v>
      </c>
      <c r="BP80" s="1196">
        <f t="shared" si="148"/>
        <v>1</v>
      </c>
      <c r="BQ80" s="1196">
        <f t="shared" si="149"/>
        <v>0.9039409559936028</v>
      </c>
      <c r="BR80" s="1196">
        <f t="shared" si="150"/>
        <v>0.66666666666666663</v>
      </c>
      <c r="BS80" s="1196">
        <f t="shared" si="151"/>
        <v>0.64485638283728675</v>
      </c>
      <c r="BT80" s="1208" t="s">
        <v>1896</v>
      </c>
      <c r="BU80" s="1376">
        <v>2</v>
      </c>
      <c r="BV80" s="1280" t="str">
        <f t="shared" si="15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256">
        <f>(AO80/6)*2</f>
        <v>82938184</v>
      </c>
      <c r="BX80" s="1214">
        <v>2</v>
      </c>
      <c r="BY80" s="1256">
        <f>29141580+59223320</f>
        <v>88364900</v>
      </c>
      <c r="BZ80" s="1328">
        <f t="shared" si="153"/>
        <v>1</v>
      </c>
      <c r="CA80" s="1328">
        <f t="shared" si="154"/>
        <v>1.0654308514881397</v>
      </c>
      <c r="CB80" s="1328">
        <f t="shared" si="155"/>
        <v>1</v>
      </c>
      <c r="CC80" s="1328">
        <f t="shared" si="156"/>
        <v>1</v>
      </c>
      <c r="CD80" s="1386" t="s">
        <v>2054</v>
      </c>
      <c r="CE80" s="1208" t="str">
        <f t="shared" si="157"/>
        <v>No Prog ni Ejec</v>
      </c>
      <c r="CF80" s="1208" t="str">
        <f t="shared" si="158"/>
        <v>No Prog ni Ejec</v>
      </c>
      <c r="CG80" s="1208">
        <f t="shared" si="159"/>
        <v>1</v>
      </c>
      <c r="CH80" s="1208">
        <f t="shared" si="160"/>
        <v>1.1573154290429122</v>
      </c>
      <c r="CI80" s="1208">
        <f t="shared" si="161"/>
        <v>1</v>
      </c>
      <c r="CJ80" s="1208">
        <f t="shared" si="162"/>
        <v>0.9039409559936028</v>
      </c>
      <c r="CK80" s="1208">
        <f t="shared" si="163"/>
        <v>1</v>
      </c>
      <c r="CL80" s="1268">
        <f t="shared" si="164"/>
        <v>1.0654308514881397</v>
      </c>
      <c r="CM80" s="127">
        <f t="shared" si="134"/>
        <v>0</v>
      </c>
      <c r="CU80" s="69">
        <v>4</v>
      </c>
    </row>
    <row r="81" spans="1:106" s="69" customFormat="1" ht="101.25" customHeight="1" x14ac:dyDescent="0.2">
      <c r="A81" s="684">
        <v>11700</v>
      </c>
      <c r="B81" s="627" t="s">
        <v>14</v>
      </c>
      <c r="C81" s="645" t="s">
        <v>500</v>
      </c>
      <c r="D81" s="645"/>
      <c r="E81" s="645"/>
      <c r="F81" s="645" t="s">
        <v>1017</v>
      </c>
      <c r="G81" s="645" t="s">
        <v>1017</v>
      </c>
      <c r="H81" s="645"/>
      <c r="I81" s="645"/>
      <c r="J81" s="645"/>
      <c r="K81" s="645"/>
      <c r="L81" s="645" t="s">
        <v>1017</v>
      </c>
      <c r="M81" s="645"/>
      <c r="N81" s="645"/>
      <c r="O81" s="645"/>
      <c r="P81" s="645"/>
      <c r="Q81" s="627" t="s">
        <v>204</v>
      </c>
      <c r="R81" s="627" t="s">
        <v>204</v>
      </c>
      <c r="S81" s="629" t="s">
        <v>238</v>
      </c>
      <c r="T81" s="627" t="s">
        <v>94</v>
      </c>
      <c r="U81" s="627" t="s">
        <v>204</v>
      </c>
      <c r="V81" s="627" t="s">
        <v>204</v>
      </c>
      <c r="W81" s="814" t="s">
        <v>1551</v>
      </c>
      <c r="X81" s="627" t="s">
        <v>753</v>
      </c>
      <c r="Y81" s="60" t="s">
        <v>406</v>
      </c>
      <c r="Z81" s="1376"/>
      <c r="AA81" s="1214"/>
      <c r="AB81" s="1201"/>
      <c r="AC81" s="1283"/>
      <c r="AD81" s="811">
        <v>1</v>
      </c>
      <c r="AE81" s="806" t="s">
        <v>16</v>
      </c>
      <c r="AF81" s="806" t="s">
        <v>21</v>
      </c>
      <c r="AG81" s="806" t="s">
        <v>204</v>
      </c>
      <c r="AH81" s="806" t="s">
        <v>633</v>
      </c>
      <c r="AI81" s="806" t="s">
        <v>77</v>
      </c>
      <c r="AJ81" s="806" t="s">
        <v>1287</v>
      </c>
      <c r="AK81" s="1280"/>
      <c r="AL81" s="806" t="s">
        <v>43</v>
      </c>
      <c r="AM81" s="1376"/>
      <c r="AN81" s="1201"/>
      <c r="AO81" s="1283"/>
      <c r="AP81" s="836" t="s">
        <v>46</v>
      </c>
      <c r="AQ81" s="1376"/>
      <c r="AR81" s="1280"/>
      <c r="AS81" s="1385"/>
      <c r="AT81" s="1214"/>
      <c r="AU81" s="1256"/>
      <c r="AV81" s="1196"/>
      <c r="AW81" s="1196"/>
      <c r="AX81" s="1196"/>
      <c r="AY81" s="1196"/>
      <c r="AZ81" s="1294"/>
      <c r="BA81" s="1376"/>
      <c r="BB81" s="1280"/>
      <c r="BC81" s="1256"/>
      <c r="BD81" s="1214"/>
      <c r="BE81" s="1205"/>
      <c r="BF81" s="1196"/>
      <c r="BG81" s="1196"/>
      <c r="BH81" s="1196"/>
      <c r="BI81" s="1196"/>
      <c r="BJ81" s="1204"/>
      <c r="BK81" s="1376"/>
      <c r="BL81" s="1280"/>
      <c r="BM81" s="1256"/>
      <c r="BN81" s="1214"/>
      <c r="BO81" s="1256"/>
      <c r="BP81" s="1196"/>
      <c r="BQ81" s="1196"/>
      <c r="BR81" s="1196"/>
      <c r="BS81" s="1196"/>
      <c r="BT81" s="1208"/>
      <c r="BU81" s="1376"/>
      <c r="BV81" s="1280"/>
      <c r="BW81" s="1256"/>
      <c r="BX81" s="1214"/>
      <c r="BY81" s="1256"/>
      <c r="BZ81" s="1328"/>
      <c r="CA81" s="1328"/>
      <c r="CB81" s="1328"/>
      <c r="CC81" s="1328"/>
      <c r="CD81" s="1386"/>
      <c r="CE81" s="1208"/>
      <c r="CF81" s="1208"/>
      <c r="CG81" s="1208"/>
      <c r="CH81" s="1208"/>
      <c r="CI81" s="1208"/>
      <c r="CJ81" s="1208"/>
      <c r="CK81" s="1208"/>
      <c r="CL81" s="1268"/>
      <c r="CM81" s="127">
        <f t="shared" si="134"/>
        <v>0</v>
      </c>
      <c r="CU81" s="69">
        <v>4</v>
      </c>
    </row>
    <row r="82" spans="1:106" s="69" customFormat="1" ht="108.75" customHeight="1" x14ac:dyDescent="0.2">
      <c r="A82" s="684">
        <v>11700</v>
      </c>
      <c r="B82" s="627" t="s">
        <v>14</v>
      </c>
      <c r="C82" s="645" t="s">
        <v>500</v>
      </c>
      <c r="D82" s="645"/>
      <c r="E82" s="645"/>
      <c r="F82" s="645" t="s">
        <v>1017</v>
      </c>
      <c r="G82" s="645" t="s">
        <v>1017</v>
      </c>
      <c r="H82" s="645"/>
      <c r="I82" s="645"/>
      <c r="J82" s="645"/>
      <c r="K82" s="645"/>
      <c r="L82" s="645" t="s">
        <v>1017</v>
      </c>
      <c r="M82" s="645"/>
      <c r="N82" s="645"/>
      <c r="O82" s="645"/>
      <c r="P82" s="645"/>
      <c r="Q82" s="627" t="s">
        <v>204</v>
      </c>
      <c r="R82" s="627" t="s">
        <v>204</v>
      </c>
      <c r="S82" s="629" t="s">
        <v>238</v>
      </c>
      <c r="T82" s="627" t="s">
        <v>94</v>
      </c>
      <c r="U82" s="627" t="s">
        <v>204</v>
      </c>
      <c r="V82" s="627" t="s">
        <v>204</v>
      </c>
      <c r="W82" s="814" t="s">
        <v>1552</v>
      </c>
      <c r="X82" s="627" t="s">
        <v>754</v>
      </c>
      <c r="Y82" s="60" t="s">
        <v>406</v>
      </c>
      <c r="Z82" s="1376"/>
      <c r="AA82" s="1214"/>
      <c r="AB82" s="1201"/>
      <c r="AC82" s="1283"/>
      <c r="AD82" s="811">
        <v>1</v>
      </c>
      <c r="AE82" s="806" t="s">
        <v>16</v>
      </c>
      <c r="AF82" s="806" t="s">
        <v>21</v>
      </c>
      <c r="AG82" s="806" t="s">
        <v>204</v>
      </c>
      <c r="AH82" s="806" t="s">
        <v>633</v>
      </c>
      <c r="AI82" s="806" t="s">
        <v>77</v>
      </c>
      <c r="AJ82" s="806" t="s">
        <v>1287</v>
      </c>
      <c r="AK82" s="1280"/>
      <c r="AL82" s="806" t="s">
        <v>43</v>
      </c>
      <c r="AM82" s="1376"/>
      <c r="AN82" s="1201"/>
      <c r="AO82" s="1283"/>
      <c r="AP82" s="836" t="s">
        <v>46</v>
      </c>
      <c r="AQ82" s="1376"/>
      <c r="AR82" s="1280"/>
      <c r="AS82" s="1385"/>
      <c r="AT82" s="1214"/>
      <c r="AU82" s="1256"/>
      <c r="AV82" s="1196"/>
      <c r="AW82" s="1196"/>
      <c r="AX82" s="1196"/>
      <c r="AY82" s="1196"/>
      <c r="AZ82" s="1294"/>
      <c r="BA82" s="1376"/>
      <c r="BB82" s="1280"/>
      <c r="BC82" s="1256"/>
      <c r="BD82" s="1214"/>
      <c r="BE82" s="1205"/>
      <c r="BF82" s="1196"/>
      <c r="BG82" s="1196"/>
      <c r="BH82" s="1196"/>
      <c r="BI82" s="1196"/>
      <c r="BJ82" s="1204"/>
      <c r="BK82" s="1376"/>
      <c r="BL82" s="1280"/>
      <c r="BM82" s="1256"/>
      <c r="BN82" s="1214"/>
      <c r="BO82" s="1256"/>
      <c r="BP82" s="1196"/>
      <c r="BQ82" s="1196"/>
      <c r="BR82" s="1196"/>
      <c r="BS82" s="1196"/>
      <c r="BT82" s="1208"/>
      <c r="BU82" s="1376"/>
      <c r="BV82" s="1280"/>
      <c r="BW82" s="1256"/>
      <c r="BX82" s="1214"/>
      <c r="BY82" s="1256"/>
      <c r="BZ82" s="1328"/>
      <c r="CA82" s="1328"/>
      <c r="CB82" s="1328"/>
      <c r="CC82" s="1328"/>
      <c r="CD82" s="1386"/>
      <c r="CE82" s="1208"/>
      <c r="CF82" s="1208"/>
      <c r="CG82" s="1208"/>
      <c r="CH82" s="1208"/>
      <c r="CI82" s="1208"/>
      <c r="CJ82" s="1208"/>
      <c r="CK82" s="1208"/>
      <c r="CL82" s="1268"/>
      <c r="CM82" s="127">
        <f t="shared" si="134"/>
        <v>0</v>
      </c>
      <c r="CU82" s="69">
        <v>4</v>
      </c>
    </row>
    <row r="83" spans="1:106" s="69" customFormat="1" ht="99.75" customHeight="1" x14ac:dyDescent="0.2">
      <c r="A83" s="684">
        <v>11700</v>
      </c>
      <c r="B83" s="627" t="s">
        <v>14</v>
      </c>
      <c r="C83" s="645" t="s">
        <v>500</v>
      </c>
      <c r="D83" s="645"/>
      <c r="E83" s="645"/>
      <c r="F83" s="645" t="s">
        <v>1017</v>
      </c>
      <c r="G83" s="645" t="s">
        <v>1017</v>
      </c>
      <c r="H83" s="645"/>
      <c r="I83" s="645"/>
      <c r="J83" s="645"/>
      <c r="K83" s="645"/>
      <c r="L83" s="645" t="s">
        <v>1017</v>
      </c>
      <c r="M83" s="645"/>
      <c r="N83" s="645"/>
      <c r="O83" s="645"/>
      <c r="P83" s="645"/>
      <c r="Q83" s="627" t="s">
        <v>204</v>
      </c>
      <c r="R83" s="627" t="s">
        <v>204</v>
      </c>
      <c r="S83" s="629" t="s">
        <v>238</v>
      </c>
      <c r="T83" s="627" t="s">
        <v>94</v>
      </c>
      <c r="U83" s="627" t="s">
        <v>204</v>
      </c>
      <c r="V83" s="627" t="s">
        <v>204</v>
      </c>
      <c r="W83" s="814" t="s">
        <v>1553</v>
      </c>
      <c r="X83" s="627" t="s">
        <v>757</v>
      </c>
      <c r="Y83" s="60" t="s">
        <v>406</v>
      </c>
      <c r="Z83" s="1376"/>
      <c r="AA83" s="1214"/>
      <c r="AB83" s="1201"/>
      <c r="AC83" s="1283"/>
      <c r="AD83" s="811">
        <v>1</v>
      </c>
      <c r="AE83" s="806" t="s">
        <v>16</v>
      </c>
      <c r="AF83" s="806" t="s">
        <v>281</v>
      </c>
      <c r="AG83" s="806" t="s">
        <v>204</v>
      </c>
      <c r="AH83" s="806" t="s">
        <v>633</v>
      </c>
      <c r="AI83" s="806" t="s">
        <v>77</v>
      </c>
      <c r="AJ83" s="806" t="s">
        <v>1287</v>
      </c>
      <c r="AK83" s="1280"/>
      <c r="AL83" s="806" t="s">
        <v>43</v>
      </c>
      <c r="AM83" s="1376"/>
      <c r="AN83" s="1201"/>
      <c r="AO83" s="1283"/>
      <c r="AP83" s="836" t="s">
        <v>46</v>
      </c>
      <c r="AQ83" s="1376"/>
      <c r="AR83" s="1280"/>
      <c r="AS83" s="1385"/>
      <c r="AT83" s="1214"/>
      <c r="AU83" s="1256"/>
      <c r="AV83" s="1196"/>
      <c r="AW83" s="1196"/>
      <c r="AX83" s="1196"/>
      <c r="AY83" s="1196"/>
      <c r="AZ83" s="1294"/>
      <c r="BA83" s="1376"/>
      <c r="BB83" s="1280"/>
      <c r="BC83" s="1256"/>
      <c r="BD83" s="1214"/>
      <c r="BE83" s="1205"/>
      <c r="BF83" s="1196"/>
      <c r="BG83" s="1196"/>
      <c r="BH83" s="1196"/>
      <c r="BI83" s="1196"/>
      <c r="BJ83" s="1204"/>
      <c r="BK83" s="1376"/>
      <c r="BL83" s="1280"/>
      <c r="BM83" s="1256"/>
      <c r="BN83" s="1214"/>
      <c r="BO83" s="1256"/>
      <c r="BP83" s="1196"/>
      <c r="BQ83" s="1196"/>
      <c r="BR83" s="1196"/>
      <c r="BS83" s="1196"/>
      <c r="BT83" s="1208"/>
      <c r="BU83" s="1376"/>
      <c r="BV83" s="1280"/>
      <c r="BW83" s="1256"/>
      <c r="BX83" s="1214"/>
      <c r="BY83" s="1256"/>
      <c r="BZ83" s="1328"/>
      <c r="CA83" s="1328"/>
      <c r="CB83" s="1328"/>
      <c r="CC83" s="1328"/>
      <c r="CD83" s="1386"/>
      <c r="CE83" s="1208"/>
      <c r="CF83" s="1208"/>
      <c r="CG83" s="1208"/>
      <c r="CH83" s="1208"/>
      <c r="CI83" s="1208"/>
      <c r="CJ83" s="1208"/>
      <c r="CK83" s="1208"/>
      <c r="CL83" s="1268"/>
      <c r="CM83" s="127">
        <f t="shared" si="134"/>
        <v>0</v>
      </c>
      <c r="CU83" s="69">
        <v>4</v>
      </c>
    </row>
    <row r="84" spans="1:106" s="69" customFormat="1" ht="102" customHeight="1" x14ac:dyDescent="0.2">
      <c r="A84" s="684">
        <v>11700</v>
      </c>
      <c r="B84" s="627" t="s">
        <v>14</v>
      </c>
      <c r="C84" s="645" t="s">
        <v>500</v>
      </c>
      <c r="D84" s="645"/>
      <c r="E84" s="645"/>
      <c r="F84" s="645" t="s">
        <v>1017</v>
      </c>
      <c r="G84" s="645" t="s">
        <v>1017</v>
      </c>
      <c r="H84" s="645"/>
      <c r="I84" s="645"/>
      <c r="J84" s="645"/>
      <c r="K84" s="645"/>
      <c r="L84" s="645" t="s">
        <v>1017</v>
      </c>
      <c r="M84" s="645"/>
      <c r="N84" s="645"/>
      <c r="O84" s="645"/>
      <c r="P84" s="645"/>
      <c r="Q84" s="627" t="s">
        <v>204</v>
      </c>
      <c r="R84" s="627" t="s">
        <v>204</v>
      </c>
      <c r="S84" s="629" t="s">
        <v>238</v>
      </c>
      <c r="T84" s="627" t="s">
        <v>94</v>
      </c>
      <c r="U84" s="627" t="s">
        <v>204</v>
      </c>
      <c r="V84" s="627" t="s">
        <v>204</v>
      </c>
      <c r="W84" s="814" t="s">
        <v>1554</v>
      </c>
      <c r="X84" s="627" t="s">
        <v>758</v>
      </c>
      <c r="Y84" s="60" t="s">
        <v>406</v>
      </c>
      <c r="Z84" s="1376"/>
      <c r="AA84" s="1214"/>
      <c r="AB84" s="1201"/>
      <c r="AC84" s="1283"/>
      <c r="AD84" s="811">
        <v>1</v>
      </c>
      <c r="AE84" s="806" t="s">
        <v>16</v>
      </c>
      <c r="AF84" s="806" t="s">
        <v>21</v>
      </c>
      <c r="AG84" s="806" t="s">
        <v>204</v>
      </c>
      <c r="AH84" s="806" t="s">
        <v>633</v>
      </c>
      <c r="AI84" s="806" t="s">
        <v>77</v>
      </c>
      <c r="AJ84" s="806" t="s">
        <v>1287</v>
      </c>
      <c r="AK84" s="1280"/>
      <c r="AL84" s="806" t="s">
        <v>43</v>
      </c>
      <c r="AM84" s="1376"/>
      <c r="AN84" s="1201"/>
      <c r="AO84" s="1283"/>
      <c r="AP84" s="836" t="s">
        <v>46</v>
      </c>
      <c r="AQ84" s="1376"/>
      <c r="AR84" s="1280"/>
      <c r="AS84" s="1385"/>
      <c r="AT84" s="1214"/>
      <c r="AU84" s="1256"/>
      <c r="AV84" s="1196"/>
      <c r="AW84" s="1196"/>
      <c r="AX84" s="1196"/>
      <c r="AY84" s="1196"/>
      <c r="AZ84" s="1294"/>
      <c r="BA84" s="1376"/>
      <c r="BB84" s="1280"/>
      <c r="BC84" s="1256"/>
      <c r="BD84" s="1214"/>
      <c r="BE84" s="1205"/>
      <c r="BF84" s="1196"/>
      <c r="BG84" s="1196"/>
      <c r="BH84" s="1196"/>
      <c r="BI84" s="1196"/>
      <c r="BJ84" s="1204"/>
      <c r="BK84" s="1376"/>
      <c r="BL84" s="1280"/>
      <c r="BM84" s="1256"/>
      <c r="BN84" s="1214"/>
      <c r="BO84" s="1256"/>
      <c r="BP84" s="1196"/>
      <c r="BQ84" s="1196"/>
      <c r="BR84" s="1196"/>
      <c r="BS84" s="1196"/>
      <c r="BT84" s="1208"/>
      <c r="BU84" s="1376"/>
      <c r="BV84" s="1280"/>
      <c r="BW84" s="1256"/>
      <c r="BX84" s="1214"/>
      <c r="BY84" s="1256"/>
      <c r="BZ84" s="1328"/>
      <c r="CA84" s="1328"/>
      <c r="CB84" s="1328"/>
      <c r="CC84" s="1328"/>
      <c r="CD84" s="1386"/>
      <c r="CE84" s="1208"/>
      <c r="CF84" s="1208"/>
      <c r="CG84" s="1208"/>
      <c r="CH84" s="1208"/>
      <c r="CI84" s="1208"/>
      <c r="CJ84" s="1208"/>
      <c r="CK84" s="1208"/>
      <c r="CL84" s="1268"/>
      <c r="CM84" s="127">
        <f t="shared" si="134"/>
        <v>0</v>
      </c>
      <c r="CU84" s="69">
        <v>4</v>
      </c>
    </row>
    <row r="85" spans="1:106" s="69" customFormat="1" ht="89.25" customHeight="1" x14ac:dyDescent="0.2">
      <c r="A85" s="684">
        <v>11700</v>
      </c>
      <c r="B85" s="627" t="s">
        <v>14</v>
      </c>
      <c r="C85" s="645" t="s">
        <v>500</v>
      </c>
      <c r="D85" s="664" t="s">
        <v>1017</v>
      </c>
      <c r="E85" s="645"/>
      <c r="F85" s="645" t="s">
        <v>1017</v>
      </c>
      <c r="G85" s="645" t="s">
        <v>1017</v>
      </c>
      <c r="H85" s="645"/>
      <c r="I85" s="645"/>
      <c r="J85" s="645"/>
      <c r="K85" s="645"/>
      <c r="L85" s="645" t="s">
        <v>1017</v>
      </c>
      <c r="M85" s="645"/>
      <c r="N85" s="645"/>
      <c r="O85" s="645"/>
      <c r="P85" s="645"/>
      <c r="Q85" s="635" t="s">
        <v>1719</v>
      </c>
      <c r="R85" s="627" t="s">
        <v>204</v>
      </c>
      <c r="S85" s="629" t="s">
        <v>238</v>
      </c>
      <c r="T85" s="627" t="s">
        <v>94</v>
      </c>
      <c r="U85" s="627" t="s">
        <v>204</v>
      </c>
      <c r="V85" s="627" t="s">
        <v>204</v>
      </c>
      <c r="W85" s="814" t="s">
        <v>1555</v>
      </c>
      <c r="X85" s="627" t="s">
        <v>759</v>
      </c>
      <c r="Y85" s="60" t="s">
        <v>406</v>
      </c>
      <c r="Z85" s="1376"/>
      <c r="AA85" s="1214"/>
      <c r="AB85" s="1201"/>
      <c r="AC85" s="1283"/>
      <c r="AD85" s="811">
        <v>1</v>
      </c>
      <c r="AE85" s="806" t="s">
        <v>16</v>
      </c>
      <c r="AF85" s="806" t="s">
        <v>21</v>
      </c>
      <c r="AG85" s="806" t="s">
        <v>204</v>
      </c>
      <c r="AH85" s="806" t="s">
        <v>633</v>
      </c>
      <c r="AI85" s="806" t="s">
        <v>77</v>
      </c>
      <c r="AJ85" s="806" t="s">
        <v>1287</v>
      </c>
      <c r="AK85" s="1280"/>
      <c r="AL85" s="806" t="s">
        <v>43</v>
      </c>
      <c r="AM85" s="1376"/>
      <c r="AN85" s="1201"/>
      <c r="AO85" s="1283"/>
      <c r="AP85" s="836" t="s">
        <v>46</v>
      </c>
      <c r="AQ85" s="1376"/>
      <c r="AR85" s="1280"/>
      <c r="AS85" s="1385"/>
      <c r="AT85" s="1214"/>
      <c r="AU85" s="1256"/>
      <c r="AV85" s="1196"/>
      <c r="AW85" s="1196"/>
      <c r="AX85" s="1196"/>
      <c r="AY85" s="1196"/>
      <c r="AZ85" s="1294"/>
      <c r="BA85" s="1376"/>
      <c r="BB85" s="1280"/>
      <c r="BC85" s="1256"/>
      <c r="BD85" s="1214"/>
      <c r="BE85" s="1205"/>
      <c r="BF85" s="1196"/>
      <c r="BG85" s="1196"/>
      <c r="BH85" s="1196"/>
      <c r="BI85" s="1196"/>
      <c r="BJ85" s="1204"/>
      <c r="BK85" s="1376"/>
      <c r="BL85" s="1280"/>
      <c r="BM85" s="1256"/>
      <c r="BN85" s="1214"/>
      <c r="BO85" s="1256"/>
      <c r="BP85" s="1196"/>
      <c r="BQ85" s="1196"/>
      <c r="BR85" s="1196"/>
      <c r="BS85" s="1196"/>
      <c r="BT85" s="1208"/>
      <c r="BU85" s="1376"/>
      <c r="BV85" s="1280"/>
      <c r="BW85" s="1256"/>
      <c r="BX85" s="1214"/>
      <c r="BY85" s="1256"/>
      <c r="BZ85" s="1328"/>
      <c r="CA85" s="1328"/>
      <c r="CB85" s="1328"/>
      <c r="CC85" s="1328"/>
      <c r="CD85" s="1386"/>
      <c r="CE85" s="1208"/>
      <c r="CF85" s="1208"/>
      <c r="CG85" s="1208"/>
      <c r="CH85" s="1208"/>
      <c r="CI85" s="1208"/>
      <c r="CJ85" s="1208"/>
      <c r="CK85" s="1208"/>
      <c r="CL85" s="1268"/>
      <c r="CM85" s="127">
        <f t="shared" si="134"/>
        <v>0</v>
      </c>
      <c r="CU85" s="69">
        <v>4</v>
      </c>
    </row>
    <row r="86" spans="1:106" s="69" customFormat="1" ht="102" customHeight="1" x14ac:dyDescent="0.2">
      <c r="A86" s="684">
        <v>11700</v>
      </c>
      <c r="B86" s="627" t="s">
        <v>14</v>
      </c>
      <c r="C86" s="645" t="s">
        <v>500</v>
      </c>
      <c r="D86" s="645"/>
      <c r="E86" s="645"/>
      <c r="F86" s="645"/>
      <c r="G86" s="645" t="s">
        <v>1017</v>
      </c>
      <c r="H86" s="645"/>
      <c r="I86" s="645"/>
      <c r="J86" s="645"/>
      <c r="K86" s="645"/>
      <c r="L86" s="645" t="s">
        <v>1017</v>
      </c>
      <c r="M86" s="645"/>
      <c r="N86" s="645"/>
      <c r="O86" s="645"/>
      <c r="P86" s="645"/>
      <c r="Q86" s="627" t="s">
        <v>204</v>
      </c>
      <c r="R86" s="627" t="s">
        <v>204</v>
      </c>
      <c r="S86" s="629" t="s">
        <v>238</v>
      </c>
      <c r="T86" s="627" t="s">
        <v>94</v>
      </c>
      <c r="U86" s="627" t="s">
        <v>204</v>
      </c>
      <c r="V86" s="627" t="s">
        <v>204</v>
      </c>
      <c r="W86" s="814" t="s">
        <v>798</v>
      </c>
      <c r="X86" s="627" t="s">
        <v>760</v>
      </c>
      <c r="Y86" s="60" t="s">
        <v>406</v>
      </c>
      <c r="Z86" s="844">
        <v>1</v>
      </c>
      <c r="AA86" s="1214" t="s">
        <v>788</v>
      </c>
      <c r="AB86" s="1280" t="s">
        <v>778</v>
      </c>
      <c r="AC86" s="812">
        <v>0</v>
      </c>
      <c r="AD86" s="811">
        <v>1</v>
      </c>
      <c r="AE86" s="806" t="s">
        <v>16</v>
      </c>
      <c r="AF86" s="806" t="s">
        <v>21</v>
      </c>
      <c r="AG86" s="806" t="s">
        <v>204</v>
      </c>
      <c r="AH86" s="806" t="s">
        <v>633</v>
      </c>
      <c r="AI86" s="806" t="s">
        <v>77</v>
      </c>
      <c r="AJ86" s="806" t="s">
        <v>1287</v>
      </c>
      <c r="AK86" s="806" t="s">
        <v>780</v>
      </c>
      <c r="AL86" s="806" t="s">
        <v>43</v>
      </c>
      <c r="AM86" s="844">
        <v>1</v>
      </c>
      <c r="AN86" s="1280" t="str">
        <f>+AB86</f>
        <v>Dar cumplimiento al modelo integrado de planeación y gestión</v>
      </c>
      <c r="AO86" s="812">
        <f t="shared" ref="AO86:AO93" si="165">+AC86</f>
        <v>0</v>
      </c>
      <c r="AP86" s="836" t="s">
        <v>46</v>
      </c>
      <c r="AQ86" s="844">
        <v>0</v>
      </c>
      <c r="AR86" s="1280" t="str">
        <f>+AN86</f>
        <v>Dar cumplimiento al modelo integrado de planeación y gestión</v>
      </c>
      <c r="AS86" s="846">
        <v>0</v>
      </c>
      <c r="AT86" s="814">
        <v>0</v>
      </c>
      <c r="AU86" s="810">
        <v>0</v>
      </c>
      <c r="AV86" s="807" t="e">
        <f t="shared" si="138"/>
        <v>#DIV/0!</v>
      </c>
      <c r="AW86" s="807" t="e">
        <f t="shared" si="139"/>
        <v>#DIV/0!</v>
      </c>
      <c r="AX86" s="807">
        <f t="shared" si="140"/>
        <v>0</v>
      </c>
      <c r="AY86" s="807" t="e">
        <f t="shared" si="141"/>
        <v>#DIV/0!</v>
      </c>
      <c r="AZ86" s="492" t="s">
        <v>1331</v>
      </c>
      <c r="BA86" s="844">
        <v>0</v>
      </c>
      <c r="BB86" s="1280" t="str">
        <f>+AN86</f>
        <v>Dar cumplimiento al modelo integrado de planeación y gestión</v>
      </c>
      <c r="BC86" s="810">
        <v>0</v>
      </c>
      <c r="BD86" s="817">
        <v>0</v>
      </c>
      <c r="BE86" s="810">
        <v>0</v>
      </c>
      <c r="BF86" s="807" t="e">
        <f t="shared" si="143"/>
        <v>#DIV/0!</v>
      </c>
      <c r="BG86" s="807" t="e">
        <f t="shared" si="144"/>
        <v>#DIV/0!</v>
      </c>
      <c r="BH86" s="807">
        <f t="shared" si="145"/>
        <v>0</v>
      </c>
      <c r="BI86" s="807" t="e">
        <f t="shared" si="146"/>
        <v>#DIV/0!</v>
      </c>
      <c r="BJ86" s="809" t="s">
        <v>1375</v>
      </c>
      <c r="BK86" s="844">
        <v>1</v>
      </c>
      <c r="BL86" s="1280" t="str">
        <f>+AN86</f>
        <v>Dar cumplimiento al modelo integrado de planeación y gestión</v>
      </c>
      <c r="BM86" s="810">
        <v>0</v>
      </c>
      <c r="BN86" s="949">
        <v>1</v>
      </c>
      <c r="BO86" s="946">
        <f>4430407/11</f>
        <v>402764.27272727271</v>
      </c>
      <c r="BP86" s="807">
        <f t="shared" si="148"/>
        <v>1</v>
      </c>
      <c r="BQ86" s="807" t="e">
        <f t="shared" si="149"/>
        <v>#DIV/0!</v>
      </c>
      <c r="BR86" s="807">
        <f t="shared" si="150"/>
        <v>1</v>
      </c>
      <c r="BS86" s="807" t="e">
        <f t="shared" si="151"/>
        <v>#DIV/0!</v>
      </c>
      <c r="BT86" s="948" t="s">
        <v>1897</v>
      </c>
      <c r="BU86" s="844">
        <v>0</v>
      </c>
      <c r="BV86" s="1280" t="str">
        <f>+AN86</f>
        <v>Dar cumplimiento al modelo integrado de planeación y gestión</v>
      </c>
      <c r="BW86" s="810">
        <v>0</v>
      </c>
      <c r="BX86" s="1132">
        <v>0</v>
      </c>
      <c r="BY86" s="1130">
        <v>0</v>
      </c>
      <c r="BZ86" s="805" t="e">
        <f t="shared" si="153"/>
        <v>#DIV/0!</v>
      </c>
      <c r="CA86" s="805" t="e">
        <f t="shared" si="154"/>
        <v>#DIV/0!</v>
      </c>
      <c r="CB86" s="805">
        <f t="shared" si="155"/>
        <v>1</v>
      </c>
      <c r="CC86" s="805" t="e">
        <f t="shared" si="156"/>
        <v>#DIV/0!</v>
      </c>
      <c r="CD86" s="682" t="s">
        <v>1375</v>
      </c>
      <c r="CE86" s="631" t="str">
        <f t="shared" si="157"/>
        <v>No Prog ni Ejec</v>
      </c>
      <c r="CF86" s="631" t="str">
        <f t="shared" si="158"/>
        <v>No Prog ni Ejec</v>
      </c>
      <c r="CG86" s="631" t="str">
        <f t="shared" si="159"/>
        <v>No Prog ni Ejec</v>
      </c>
      <c r="CH86" s="631" t="str">
        <f t="shared" si="160"/>
        <v>No Prog ni Ejec</v>
      </c>
      <c r="CI86" s="631">
        <f t="shared" si="161"/>
        <v>1</v>
      </c>
      <c r="CJ86" s="631" t="str">
        <f t="shared" si="162"/>
        <v>No Prog, Ejec=  402764,272727273</v>
      </c>
      <c r="CK86" s="631" t="str">
        <f t="shared" si="163"/>
        <v>No Prog ni Ejec</v>
      </c>
      <c r="CL86" s="685" t="str">
        <f t="shared" si="164"/>
        <v>No Prog ni Ejec</v>
      </c>
      <c r="CM86" s="127">
        <f t="shared" si="134"/>
        <v>0</v>
      </c>
      <c r="CU86" s="69">
        <v>4</v>
      </c>
    </row>
    <row r="87" spans="1:106" s="69" customFormat="1" ht="102.75" customHeight="1" x14ac:dyDescent="0.2">
      <c r="A87" s="684">
        <v>11700</v>
      </c>
      <c r="B87" s="627" t="s">
        <v>14</v>
      </c>
      <c r="C87" s="645" t="s">
        <v>500</v>
      </c>
      <c r="D87" s="645"/>
      <c r="E87" s="645"/>
      <c r="F87" s="645"/>
      <c r="G87" s="645" t="s">
        <v>1017</v>
      </c>
      <c r="H87" s="645"/>
      <c r="I87" s="645"/>
      <c r="J87" s="645"/>
      <c r="K87" s="645"/>
      <c r="L87" s="645" t="s">
        <v>1017</v>
      </c>
      <c r="M87" s="645"/>
      <c r="N87" s="645"/>
      <c r="O87" s="645"/>
      <c r="P87" s="645"/>
      <c r="Q87" s="627" t="s">
        <v>204</v>
      </c>
      <c r="R87" s="627" t="s">
        <v>204</v>
      </c>
      <c r="S87" s="629" t="s">
        <v>238</v>
      </c>
      <c r="T87" s="627" t="s">
        <v>94</v>
      </c>
      <c r="U87" s="627" t="s">
        <v>204</v>
      </c>
      <c r="V87" s="627" t="s">
        <v>204</v>
      </c>
      <c r="W87" s="814" t="s">
        <v>1083</v>
      </c>
      <c r="X87" s="627" t="s">
        <v>761</v>
      </c>
      <c r="Y87" s="60" t="s">
        <v>406</v>
      </c>
      <c r="Z87" s="844">
        <v>1</v>
      </c>
      <c r="AA87" s="1214"/>
      <c r="AB87" s="1201"/>
      <c r="AC87" s="812">
        <v>0</v>
      </c>
      <c r="AD87" s="811">
        <v>1</v>
      </c>
      <c r="AE87" s="806" t="s">
        <v>16</v>
      </c>
      <c r="AF87" s="806" t="s">
        <v>21</v>
      </c>
      <c r="AG87" s="806" t="s">
        <v>204</v>
      </c>
      <c r="AH87" s="806" t="s">
        <v>633</v>
      </c>
      <c r="AI87" s="806" t="s">
        <v>77</v>
      </c>
      <c r="AJ87" s="806" t="s">
        <v>1287</v>
      </c>
      <c r="AK87" s="806" t="s">
        <v>780</v>
      </c>
      <c r="AL87" s="806" t="s">
        <v>43</v>
      </c>
      <c r="AM87" s="844">
        <v>1</v>
      </c>
      <c r="AN87" s="1280"/>
      <c r="AO87" s="812">
        <f t="shared" si="165"/>
        <v>0</v>
      </c>
      <c r="AP87" s="836" t="s">
        <v>46</v>
      </c>
      <c r="AQ87" s="844">
        <v>0</v>
      </c>
      <c r="AR87" s="1280"/>
      <c r="AS87" s="846">
        <v>0</v>
      </c>
      <c r="AT87" s="814">
        <v>0</v>
      </c>
      <c r="AU87" s="810">
        <v>0</v>
      </c>
      <c r="AV87" s="807" t="e">
        <f t="shared" si="138"/>
        <v>#DIV/0!</v>
      </c>
      <c r="AW87" s="807" t="e">
        <f t="shared" si="139"/>
        <v>#DIV/0!</v>
      </c>
      <c r="AX87" s="807">
        <f t="shared" si="140"/>
        <v>0</v>
      </c>
      <c r="AY87" s="807" t="e">
        <f t="shared" si="141"/>
        <v>#DIV/0!</v>
      </c>
      <c r="AZ87" s="492" t="s">
        <v>1331</v>
      </c>
      <c r="BA87" s="844">
        <v>1</v>
      </c>
      <c r="BB87" s="1280"/>
      <c r="BC87" s="810">
        <v>0</v>
      </c>
      <c r="BD87" s="817">
        <v>0</v>
      </c>
      <c r="BE87" s="810">
        <v>0</v>
      </c>
      <c r="BF87" s="807">
        <f t="shared" si="143"/>
        <v>0</v>
      </c>
      <c r="BG87" s="807" t="e">
        <f t="shared" si="144"/>
        <v>#DIV/0!</v>
      </c>
      <c r="BH87" s="807">
        <f t="shared" si="145"/>
        <v>0</v>
      </c>
      <c r="BI87" s="807" t="e">
        <f t="shared" si="146"/>
        <v>#DIV/0!</v>
      </c>
      <c r="BJ87" s="808" t="s">
        <v>1634</v>
      </c>
      <c r="BK87" s="844">
        <v>0</v>
      </c>
      <c r="BL87" s="1280"/>
      <c r="BM87" s="810">
        <v>0</v>
      </c>
      <c r="BN87" s="949">
        <v>0</v>
      </c>
      <c r="BO87" s="946">
        <v>0</v>
      </c>
      <c r="BP87" s="807" t="e">
        <f t="shared" si="148"/>
        <v>#DIV/0!</v>
      </c>
      <c r="BQ87" s="807" t="e">
        <f t="shared" si="149"/>
        <v>#DIV/0!</v>
      </c>
      <c r="BR87" s="807">
        <f t="shared" si="150"/>
        <v>0</v>
      </c>
      <c r="BS87" s="807" t="e">
        <f t="shared" si="151"/>
        <v>#DIV/0!</v>
      </c>
      <c r="BT87" s="948" t="s">
        <v>1898</v>
      </c>
      <c r="BU87" s="844">
        <v>0</v>
      </c>
      <c r="BV87" s="1280"/>
      <c r="BW87" s="810">
        <v>0</v>
      </c>
      <c r="BX87" s="1132">
        <v>0</v>
      </c>
      <c r="BY87" s="1130">
        <v>0</v>
      </c>
      <c r="BZ87" s="805" t="e">
        <f t="shared" si="153"/>
        <v>#DIV/0!</v>
      </c>
      <c r="CA87" s="805" t="e">
        <f t="shared" si="154"/>
        <v>#DIV/0!</v>
      </c>
      <c r="CB87" s="805">
        <f t="shared" si="155"/>
        <v>0</v>
      </c>
      <c r="CC87" s="805" t="e">
        <f t="shared" si="156"/>
        <v>#DIV/0!</v>
      </c>
      <c r="CD87" s="682" t="s">
        <v>2055</v>
      </c>
      <c r="CE87" s="631" t="str">
        <f t="shared" si="157"/>
        <v>No Prog ni Ejec</v>
      </c>
      <c r="CF87" s="631" t="str">
        <f t="shared" si="158"/>
        <v>No Prog ni Ejec</v>
      </c>
      <c r="CG87" s="631">
        <f t="shared" si="159"/>
        <v>0</v>
      </c>
      <c r="CH87" s="631" t="str">
        <f t="shared" si="160"/>
        <v>No Prog ni Ejec</v>
      </c>
      <c r="CI87" s="631" t="str">
        <f t="shared" si="161"/>
        <v>No Prog ni Ejec</v>
      </c>
      <c r="CJ87" s="631" t="str">
        <f t="shared" si="162"/>
        <v>No Prog ni Ejec</v>
      </c>
      <c r="CK87" s="631" t="str">
        <f t="shared" si="163"/>
        <v>No Prog ni Ejec</v>
      </c>
      <c r="CL87" s="685" t="str">
        <f t="shared" si="164"/>
        <v>No Prog ni Ejec</v>
      </c>
      <c r="CM87" s="127">
        <f t="shared" si="134"/>
        <v>0</v>
      </c>
      <c r="CU87" s="69">
        <v>4</v>
      </c>
    </row>
    <row r="88" spans="1:106" s="69" customFormat="1" ht="103.5" customHeight="1" x14ac:dyDescent="0.2">
      <c r="A88" s="684">
        <v>11700</v>
      </c>
      <c r="B88" s="627" t="s">
        <v>14</v>
      </c>
      <c r="C88" s="645" t="s">
        <v>500</v>
      </c>
      <c r="D88" s="645"/>
      <c r="E88" s="645"/>
      <c r="F88" s="645"/>
      <c r="G88" s="645" t="s">
        <v>1017</v>
      </c>
      <c r="H88" s="645"/>
      <c r="I88" s="645"/>
      <c r="J88" s="645"/>
      <c r="K88" s="645"/>
      <c r="L88" s="645" t="s">
        <v>1017</v>
      </c>
      <c r="M88" s="645"/>
      <c r="N88" s="645"/>
      <c r="O88" s="645"/>
      <c r="P88" s="645"/>
      <c r="Q88" s="627" t="s">
        <v>204</v>
      </c>
      <c r="R88" s="627" t="s">
        <v>204</v>
      </c>
      <c r="S88" s="629" t="s">
        <v>238</v>
      </c>
      <c r="T88" s="627" t="s">
        <v>94</v>
      </c>
      <c r="U88" s="627" t="s">
        <v>204</v>
      </c>
      <c r="V88" s="627" t="s">
        <v>204</v>
      </c>
      <c r="W88" s="814" t="s">
        <v>1084</v>
      </c>
      <c r="X88" s="627" t="s">
        <v>762</v>
      </c>
      <c r="Y88" s="60" t="s">
        <v>406</v>
      </c>
      <c r="Z88" s="844">
        <v>1</v>
      </c>
      <c r="AA88" s="1214"/>
      <c r="AB88" s="1201"/>
      <c r="AC88" s="812">
        <v>0</v>
      </c>
      <c r="AD88" s="811">
        <v>1</v>
      </c>
      <c r="AE88" s="806" t="s">
        <v>16</v>
      </c>
      <c r="AF88" s="806" t="s">
        <v>21</v>
      </c>
      <c r="AG88" s="806" t="s">
        <v>204</v>
      </c>
      <c r="AH88" s="806" t="s">
        <v>633</v>
      </c>
      <c r="AI88" s="806" t="s">
        <v>77</v>
      </c>
      <c r="AJ88" s="806" t="s">
        <v>1287</v>
      </c>
      <c r="AK88" s="806" t="s">
        <v>780</v>
      </c>
      <c r="AL88" s="806" t="s">
        <v>43</v>
      </c>
      <c r="AM88" s="844">
        <v>1</v>
      </c>
      <c r="AN88" s="1280"/>
      <c r="AO88" s="812">
        <f t="shared" si="165"/>
        <v>0</v>
      </c>
      <c r="AP88" s="836" t="s">
        <v>46</v>
      </c>
      <c r="AQ88" s="844">
        <v>0</v>
      </c>
      <c r="AR88" s="1280"/>
      <c r="AS88" s="846">
        <v>0</v>
      </c>
      <c r="AT88" s="814">
        <v>0</v>
      </c>
      <c r="AU88" s="810">
        <v>0</v>
      </c>
      <c r="AV88" s="807" t="e">
        <f t="shared" si="138"/>
        <v>#DIV/0!</v>
      </c>
      <c r="AW88" s="807" t="e">
        <f t="shared" si="139"/>
        <v>#DIV/0!</v>
      </c>
      <c r="AX88" s="807">
        <f t="shared" si="140"/>
        <v>0</v>
      </c>
      <c r="AY88" s="807" t="e">
        <f t="shared" si="141"/>
        <v>#DIV/0!</v>
      </c>
      <c r="AZ88" s="492" t="s">
        <v>1331</v>
      </c>
      <c r="BA88" s="844">
        <v>0</v>
      </c>
      <c r="BB88" s="1280"/>
      <c r="BC88" s="810">
        <v>0</v>
      </c>
      <c r="BD88" s="817">
        <v>0</v>
      </c>
      <c r="BE88" s="810">
        <v>0</v>
      </c>
      <c r="BF88" s="807" t="e">
        <f t="shared" si="143"/>
        <v>#DIV/0!</v>
      </c>
      <c r="BG88" s="807" t="e">
        <f t="shared" si="144"/>
        <v>#DIV/0!</v>
      </c>
      <c r="BH88" s="807">
        <f t="shared" si="145"/>
        <v>0</v>
      </c>
      <c r="BI88" s="807" t="e">
        <f t="shared" si="146"/>
        <v>#DIV/0!</v>
      </c>
      <c r="BJ88" s="809" t="s">
        <v>1375</v>
      </c>
      <c r="BK88" s="844">
        <v>1</v>
      </c>
      <c r="BL88" s="1280"/>
      <c r="BM88" s="810">
        <v>0</v>
      </c>
      <c r="BN88" s="949">
        <v>0</v>
      </c>
      <c r="BO88" s="946">
        <v>0</v>
      </c>
      <c r="BP88" s="807">
        <f t="shared" si="148"/>
        <v>0</v>
      </c>
      <c r="BQ88" s="807" t="e">
        <f t="shared" si="149"/>
        <v>#DIV/0!</v>
      </c>
      <c r="BR88" s="807">
        <f t="shared" si="150"/>
        <v>0</v>
      </c>
      <c r="BS88" s="807" t="e">
        <f t="shared" si="151"/>
        <v>#DIV/0!</v>
      </c>
      <c r="BT88" s="948" t="s">
        <v>1899</v>
      </c>
      <c r="BU88" s="844">
        <v>0</v>
      </c>
      <c r="BV88" s="1280"/>
      <c r="BW88" s="810">
        <v>0</v>
      </c>
      <c r="BX88" s="1132">
        <v>1</v>
      </c>
      <c r="BY88" s="1130">
        <v>0</v>
      </c>
      <c r="BZ88" s="805" t="e">
        <f t="shared" si="153"/>
        <v>#DIV/0!</v>
      </c>
      <c r="CA88" s="805" t="e">
        <f t="shared" si="154"/>
        <v>#DIV/0!</v>
      </c>
      <c r="CB88" s="805">
        <f t="shared" si="155"/>
        <v>1</v>
      </c>
      <c r="CC88" s="805" t="e">
        <f t="shared" si="156"/>
        <v>#DIV/0!</v>
      </c>
      <c r="CD88" s="682" t="s">
        <v>2056</v>
      </c>
      <c r="CE88" s="631" t="str">
        <f t="shared" si="157"/>
        <v>No Prog ni Ejec</v>
      </c>
      <c r="CF88" s="631" t="str">
        <f t="shared" si="158"/>
        <v>No Prog ni Ejec</v>
      </c>
      <c r="CG88" s="631" t="str">
        <f t="shared" si="159"/>
        <v>No Prog ni Ejec</v>
      </c>
      <c r="CH88" s="631" t="str">
        <f t="shared" si="160"/>
        <v>No Prog ni Ejec</v>
      </c>
      <c r="CI88" s="631">
        <f t="shared" si="161"/>
        <v>0</v>
      </c>
      <c r="CJ88" s="631" t="str">
        <f t="shared" si="162"/>
        <v>No Prog ni Ejec</v>
      </c>
      <c r="CK88" s="631" t="str">
        <f t="shared" si="163"/>
        <v>No Prog, Ejec=  1</v>
      </c>
      <c r="CL88" s="685" t="str">
        <f t="shared" si="164"/>
        <v>No Prog ni Ejec</v>
      </c>
      <c r="CM88" s="127">
        <f t="shared" si="134"/>
        <v>0</v>
      </c>
      <c r="CU88" s="69">
        <v>4</v>
      </c>
    </row>
    <row r="89" spans="1:106" s="69" customFormat="1" ht="102" customHeight="1" x14ac:dyDescent="0.2">
      <c r="A89" s="684">
        <v>11700</v>
      </c>
      <c r="B89" s="627" t="s">
        <v>14</v>
      </c>
      <c r="C89" s="645" t="s">
        <v>500</v>
      </c>
      <c r="D89" s="645"/>
      <c r="E89" s="645"/>
      <c r="F89" s="645"/>
      <c r="G89" s="645" t="s">
        <v>1017</v>
      </c>
      <c r="H89" s="645"/>
      <c r="I89" s="645"/>
      <c r="J89" s="645"/>
      <c r="K89" s="645"/>
      <c r="L89" s="645" t="s">
        <v>1017</v>
      </c>
      <c r="M89" s="645"/>
      <c r="N89" s="645"/>
      <c r="O89" s="645"/>
      <c r="P89" s="645"/>
      <c r="Q89" s="627" t="s">
        <v>204</v>
      </c>
      <c r="R89" s="627" t="s">
        <v>204</v>
      </c>
      <c r="S89" s="629" t="s">
        <v>238</v>
      </c>
      <c r="T89" s="627" t="s">
        <v>94</v>
      </c>
      <c r="U89" s="627" t="s">
        <v>204</v>
      </c>
      <c r="V89" s="627" t="s">
        <v>204</v>
      </c>
      <c r="W89" s="629" t="s">
        <v>1085</v>
      </c>
      <c r="X89" s="627" t="s">
        <v>763</v>
      </c>
      <c r="Y89" s="60" t="s">
        <v>406</v>
      </c>
      <c r="Z89" s="844">
        <v>1</v>
      </c>
      <c r="AA89" s="1214"/>
      <c r="AB89" s="1201"/>
      <c r="AC89" s="812">
        <v>0</v>
      </c>
      <c r="AD89" s="811">
        <v>1</v>
      </c>
      <c r="AE89" s="806" t="s">
        <v>16</v>
      </c>
      <c r="AF89" s="806" t="s">
        <v>21</v>
      </c>
      <c r="AG89" s="806" t="s">
        <v>204</v>
      </c>
      <c r="AH89" s="806" t="s">
        <v>633</v>
      </c>
      <c r="AI89" s="806" t="s">
        <v>77</v>
      </c>
      <c r="AJ89" s="806" t="s">
        <v>1287</v>
      </c>
      <c r="AK89" s="806" t="s">
        <v>780</v>
      </c>
      <c r="AL89" s="806" t="s">
        <v>43</v>
      </c>
      <c r="AM89" s="844">
        <v>1</v>
      </c>
      <c r="AN89" s="1280"/>
      <c r="AO89" s="812">
        <f t="shared" si="165"/>
        <v>0</v>
      </c>
      <c r="AP89" s="836" t="s">
        <v>46</v>
      </c>
      <c r="AQ89" s="844">
        <v>0</v>
      </c>
      <c r="AR89" s="1280"/>
      <c r="AS89" s="846">
        <v>0</v>
      </c>
      <c r="AT89" s="814">
        <v>0</v>
      </c>
      <c r="AU89" s="810">
        <v>0</v>
      </c>
      <c r="AV89" s="807" t="e">
        <f t="shared" si="138"/>
        <v>#DIV/0!</v>
      </c>
      <c r="AW89" s="807" t="e">
        <f t="shared" si="139"/>
        <v>#DIV/0!</v>
      </c>
      <c r="AX89" s="807">
        <f t="shared" si="140"/>
        <v>0</v>
      </c>
      <c r="AY89" s="807" t="e">
        <f t="shared" si="141"/>
        <v>#DIV/0!</v>
      </c>
      <c r="AZ89" s="492" t="s">
        <v>1331</v>
      </c>
      <c r="BA89" s="844">
        <v>0</v>
      </c>
      <c r="BB89" s="1280"/>
      <c r="BC89" s="810">
        <v>0</v>
      </c>
      <c r="BD89" s="817">
        <v>0</v>
      </c>
      <c r="BE89" s="810">
        <v>0</v>
      </c>
      <c r="BF89" s="807" t="e">
        <f t="shared" si="143"/>
        <v>#DIV/0!</v>
      </c>
      <c r="BG89" s="807" t="e">
        <f t="shared" si="144"/>
        <v>#DIV/0!</v>
      </c>
      <c r="BH89" s="807">
        <f t="shared" si="145"/>
        <v>0</v>
      </c>
      <c r="BI89" s="807" t="e">
        <f t="shared" si="146"/>
        <v>#DIV/0!</v>
      </c>
      <c r="BJ89" s="809" t="s">
        <v>1375</v>
      </c>
      <c r="BK89" s="844">
        <v>0</v>
      </c>
      <c r="BL89" s="1280"/>
      <c r="BM89" s="810">
        <v>0</v>
      </c>
      <c r="BN89" s="949">
        <v>1</v>
      </c>
      <c r="BO89" s="946">
        <v>0</v>
      </c>
      <c r="BP89" s="807" t="e">
        <f>+(BN89/BK89)</f>
        <v>#DIV/0!</v>
      </c>
      <c r="BQ89" s="807" t="e">
        <f t="shared" si="149"/>
        <v>#DIV/0!</v>
      </c>
      <c r="BR89" s="807">
        <f t="shared" si="150"/>
        <v>1</v>
      </c>
      <c r="BS89" s="807" t="e">
        <f t="shared" si="151"/>
        <v>#DIV/0!</v>
      </c>
      <c r="BT89" s="948" t="s">
        <v>1900</v>
      </c>
      <c r="BU89" s="844">
        <v>1</v>
      </c>
      <c r="BV89" s="1280"/>
      <c r="BW89" s="810">
        <v>0</v>
      </c>
      <c r="BX89" s="1132">
        <v>0</v>
      </c>
      <c r="BY89" s="1130">
        <v>0</v>
      </c>
      <c r="BZ89" s="805">
        <f t="shared" si="153"/>
        <v>0</v>
      </c>
      <c r="CA89" s="805" t="e">
        <f t="shared" si="154"/>
        <v>#DIV/0!</v>
      </c>
      <c r="CB89" s="805">
        <f t="shared" si="155"/>
        <v>1</v>
      </c>
      <c r="CC89" s="805" t="e">
        <f t="shared" si="156"/>
        <v>#DIV/0!</v>
      </c>
      <c r="CD89" s="682" t="s">
        <v>2057</v>
      </c>
      <c r="CE89" s="631" t="str">
        <f t="shared" si="157"/>
        <v>No Prog ni Ejec</v>
      </c>
      <c r="CF89" s="631" t="str">
        <f t="shared" si="158"/>
        <v>No Prog ni Ejec</v>
      </c>
      <c r="CG89" s="631" t="str">
        <f t="shared" si="159"/>
        <v>No Prog ni Ejec</v>
      </c>
      <c r="CH89" s="631" t="str">
        <f t="shared" si="160"/>
        <v>No Prog ni Ejec</v>
      </c>
      <c r="CI89" s="631" t="str">
        <f t="shared" si="161"/>
        <v>No Prog, Ejec=  1</v>
      </c>
      <c r="CJ89" s="631" t="str">
        <f t="shared" si="162"/>
        <v>No Prog ni Ejec</v>
      </c>
      <c r="CK89" s="631">
        <f t="shared" si="163"/>
        <v>0</v>
      </c>
      <c r="CL89" s="685" t="str">
        <f t="shared" si="164"/>
        <v>No Prog ni Ejec</v>
      </c>
      <c r="CM89" s="127">
        <f t="shared" si="134"/>
        <v>0</v>
      </c>
      <c r="CU89" s="69">
        <v>4</v>
      </c>
    </row>
    <row r="90" spans="1:106" s="69" customFormat="1" ht="117" customHeight="1" x14ac:dyDescent="0.2">
      <c r="A90" s="684">
        <v>11700</v>
      </c>
      <c r="B90" s="627" t="s">
        <v>14</v>
      </c>
      <c r="C90" s="645" t="s">
        <v>500</v>
      </c>
      <c r="D90" s="645"/>
      <c r="E90" s="645"/>
      <c r="F90" s="645"/>
      <c r="G90" s="645" t="s">
        <v>1017</v>
      </c>
      <c r="H90" s="645"/>
      <c r="I90" s="645"/>
      <c r="J90" s="645"/>
      <c r="K90" s="645"/>
      <c r="L90" s="645" t="s">
        <v>1017</v>
      </c>
      <c r="M90" s="645"/>
      <c r="N90" s="645"/>
      <c r="O90" s="645"/>
      <c r="P90" s="645"/>
      <c r="Q90" s="627" t="s">
        <v>204</v>
      </c>
      <c r="R90" s="627" t="s">
        <v>204</v>
      </c>
      <c r="S90" s="629" t="s">
        <v>238</v>
      </c>
      <c r="T90" s="627" t="s">
        <v>94</v>
      </c>
      <c r="U90" s="627" t="s">
        <v>204</v>
      </c>
      <c r="V90" s="627" t="s">
        <v>204</v>
      </c>
      <c r="W90" s="629" t="s">
        <v>1086</v>
      </c>
      <c r="X90" s="627" t="s">
        <v>764</v>
      </c>
      <c r="Y90" s="60" t="s">
        <v>406</v>
      </c>
      <c r="Z90" s="844">
        <v>1</v>
      </c>
      <c r="AA90" s="1214"/>
      <c r="AB90" s="1201"/>
      <c r="AC90" s="812">
        <v>0</v>
      </c>
      <c r="AD90" s="811">
        <v>1</v>
      </c>
      <c r="AE90" s="806" t="s">
        <v>16</v>
      </c>
      <c r="AF90" s="806" t="s">
        <v>21</v>
      </c>
      <c r="AG90" s="806" t="s">
        <v>204</v>
      </c>
      <c r="AH90" s="806" t="s">
        <v>633</v>
      </c>
      <c r="AI90" s="806" t="s">
        <v>77</v>
      </c>
      <c r="AJ90" s="806" t="s">
        <v>1287</v>
      </c>
      <c r="AK90" s="806" t="s">
        <v>780</v>
      </c>
      <c r="AL90" s="806" t="s">
        <v>43</v>
      </c>
      <c r="AM90" s="844">
        <v>1</v>
      </c>
      <c r="AN90" s="1280"/>
      <c r="AO90" s="812">
        <f t="shared" si="165"/>
        <v>0</v>
      </c>
      <c r="AP90" s="836" t="s">
        <v>46</v>
      </c>
      <c r="AQ90" s="844">
        <v>0</v>
      </c>
      <c r="AR90" s="1280"/>
      <c r="AS90" s="846">
        <v>0</v>
      </c>
      <c r="AT90" s="814">
        <v>0</v>
      </c>
      <c r="AU90" s="810">
        <v>0</v>
      </c>
      <c r="AV90" s="807" t="e">
        <f t="shared" si="138"/>
        <v>#DIV/0!</v>
      </c>
      <c r="AW90" s="807" t="e">
        <f t="shared" si="139"/>
        <v>#DIV/0!</v>
      </c>
      <c r="AX90" s="807">
        <f t="shared" si="140"/>
        <v>0</v>
      </c>
      <c r="AY90" s="807" t="e">
        <f t="shared" si="141"/>
        <v>#DIV/0!</v>
      </c>
      <c r="AZ90" s="492" t="s">
        <v>1331</v>
      </c>
      <c r="BA90" s="844">
        <v>0</v>
      </c>
      <c r="BB90" s="1280"/>
      <c r="BC90" s="810">
        <v>0</v>
      </c>
      <c r="BD90" s="817">
        <v>0</v>
      </c>
      <c r="BE90" s="810">
        <v>0</v>
      </c>
      <c r="BF90" s="807" t="e">
        <f t="shared" si="143"/>
        <v>#DIV/0!</v>
      </c>
      <c r="BG90" s="807" t="e">
        <f t="shared" si="144"/>
        <v>#DIV/0!</v>
      </c>
      <c r="BH90" s="807">
        <f t="shared" si="145"/>
        <v>0</v>
      </c>
      <c r="BI90" s="807" t="e">
        <f t="shared" si="146"/>
        <v>#DIV/0!</v>
      </c>
      <c r="BJ90" s="809" t="s">
        <v>1375</v>
      </c>
      <c r="BK90" s="844">
        <v>0</v>
      </c>
      <c r="BL90" s="1280"/>
      <c r="BM90" s="810">
        <v>0</v>
      </c>
      <c r="BN90" s="949">
        <v>0</v>
      </c>
      <c r="BO90" s="946">
        <v>0</v>
      </c>
      <c r="BP90" s="807" t="e">
        <f t="shared" si="148"/>
        <v>#DIV/0!</v>
      </c>
      <c r="BQ90" s="807" t="e">
        <f t="shared" si="149"/>
        <v>#DIV/0!</v>
      </c>
      <c r="BR90" s="807">
        <f t="shared" si="150"/>
        <v>0</v>
      </c>
      <c r="BS90" s="807" t="e">
        <f t="shared" si="151"/>
        <v>#DIV/0!</v>
      </c>
      <c r="BT90" s="945" t="s">
        <v>1375</v>
      </c>
      <c r="BU90" s="844">
        <v>1</v>
      </c>
      <c r="BV90" s="1280"/>
      <c r="BW90" s="810">
        <v>0</v>
      </c>
      <c r="BX90" s="1132">
        <v>1</v>
      </c>
      <c r="BY90" s="1130">
        <v>0</v>
      </c>
      <c r="BZ90" s="805">
        <f t="shared" si="153"/>
        <v>1</v>
      </c>
      <c r="CA90" s="805" t="e">
        <f t="shared" si="154"/>
        <v>#DIV/0!</v>
      </c>
      <c r="CB90" s="805">
        <f t="shared" si="155"/>
        <v>1</v>
      </c>
      <c r="CC90" s="805" t="e">
        <f t="shared" si="156"/>
        <v>#DIV/0!</v>
      </c>
      <c r="CD90" s="682" t="s">
        <v>2058</v>
      </c>
      <c r="CE90" s="631" t="str">
        <f t="shared" si="157"/>
        <v>No Prog ni Ejec</v>
      </c>
      <c r="CF90" s="631" t="str">
        <f t="shared" si="158"/>
        <v>No Prog ni Ejec</v>
      </c>
      <c r="CG90" s="631" t="str">
        <f t="shared" si="159"/>
        <v>No Prog ni Ejec</v>
      </c>
      <c r="CH90" s="631" t="str">
        <f t="shared" si="160"/>
        <v>No Prog ni Ejec</v>
      </c>
      <c r="CI90" s="631" t="str">
        <f t="shared" si="161"/>
        <v>No Prog ni Ejec</v>
      </c>
      <c r="CJ90" s="631" t="str">
        <f t="shared" si="162"/>
        <v>No Prog ni Ejec</v>
      </c>
      <c r="CK90" s="631">
        <f t="shared" si="163"/>
        <v>1</v>
      </c>
      <c r="CL90" s="685" t="str">
        <f t="shared" si="164"/>
        <v>No Prog ni Ejec</v>
      </c>
      <c r="CM90" s="127">
        <f t="shared" si="134"/>
        <v>0</v>
      </c>
      <c r="CU90" s="69">
        <v>4</v>
      </c>
    </row>
    <row r="91" spans="1:106" s="69" customFormat="1" ht="89.25" customHeight="1" x14ac:dyDescent="0.2">
      <c r="A91" s="684">
        <v>11700</v>
      </c>
      <c r="B91" s="627" t="s">
        <v>14</v>
      </c>
      <c r="C91" s="645" t="s">
        <v>500</v>
      </c>
      <c r="D91" s="645"/>
      <c r="E91" s="645"/>
      <c r="F91" s="645"/>
      <c r="G91" s="645" t="s">
        <v>1017</v>
      </c>
      <c r="H91" s="645"/>
      <c r="I91" s="645"/>
      <c r="J91" s="645"/>
      <c r="K91" s="645"/>
      <c r="L91" s="645" t="s">
        <v>1017</v>
      </c>
      <c r="M91" s="645"/>
      <c r="N91" s="645"/>
      <c r="O91" s="645"/>
      <c r="P91" s="645"/>
      <c r="Q91" s="627" t="s">
        <v>204</v>
      </c>
      <c r="R91" s="627" t="s">
        <v>204</v>
      </c>
      <c r="S91" s="629" t="s">
        <v>238</v>
      </c>
      <c r="T91" s="627" t="s">
        <v>94</v>
      </c>
      <c r="U91" s="627" t="s">
        <v>204</v>
      </c>
      <c r="V91" s="627" t="s">
        <v>204</v>
      </c>
      <c r="W91" s="629" t="s">
        <v>1087</v>
      </c>
      <c r="X91" s="627" t="s">
        <v>765</v>
      </c>
      <c r="Y91" s="60" t="s">
        <v>406</v>
      </c>
      <c r="Z91" s="844">
        <v>1</v>
      </c>
      <c r="AA91" s="1214"/>
      <c r="AB91" s="1201"/>
      <c r="AC91" s="812">
        <v>0</v>
      </c>
      <c r="AD91" s="811">
        <v>1</v>
      </c>
      <c r="AE91" s="806" t="s">
        <v>16</v>
      </c>
      <c r="AF91" s="806" t="s">
        <v>21</v>
      </c>
      <c r="AG91" s="806" t="s">
        <v>204</v>
      </c>
      <c r="AH91" s="806" t="s">
        <v>633</v>
      </c>
      <c r="AI91" s="806" t="s">
        <v>77</v>
      </c>
      <c r="AJ91" s="806" t="s">
        <v>1287</v>
      </c>
      <c r="AK91" s="806" t="s">
        <v>780</v>
      </c>
      <c r="AL91" s="806" t="s">
        <v>43</v>
      </c>
      <c r="AM91" s="844">
        <v>1</v>
      </c>
      <c r="AN91" s="1280"/>
      <c r="AO91" s="812">
        <f t="shared" si="165"/>
        <v>0</v>
      </c>
      <c r="AP91" s="836" t="s">
        <v>46</v>
      </c>
      <c r="AQ91" s="844">
        <v>0</v>
      </c>
      <c r="AR91" s="1280"/>
      <c r="AS91" s="846">
        <v>0</v>
      </c>
      <c r="AT91" s="814">
        <v>0</v>
      </c>
      <c r="AU91" s="810">
        <v>0</v>
      </c>
      <c r="AV91" s="807" t="e">
        <f t="shared" si="138"/>
        <v>#DIV/0!</v>
      </c>
      <c r="AW91" s="807" t="e">
        <f t="shared" si="139"/>
        <v>#DIV/0!</v>
      </c>
      <c r="AX91" s="807">
        <f t="shared" si="140"/>
        <v>0</v>
      </c>
      <c r="AY91" s="807" t="e">
        <f t="shared" si="141"/>
        <v>#DIV/0!</v>
      </c>
      <c r="AZ91" s="492" t="s">
        <v>1331</v>
      </c>
      <c r="BA91" s="844">
        <v>0</v>
      </c>
      <c r="BB91" s="1280"/>
      <c r="BC91" s="810">
        <v>0</v>
      </c>
      <c r="BD91" s="817">
        <v>0</v>
      </c>
      <c r="BE91" s="810">
        <v>0</v>
      </c>
      <c r="BF91" s="807" t="e">
        <f t="shared" si="143"/>
        <v>#DIV/0!</v>
      </c>
      <c r="BG91" s="807" t="e">
        <f t="shared" si="144"/>
        <v>#DIV/0!</v>
      </c>
      <c r="BH91" s="807">
        <f t="shared" si="145"/>
        <v>0</v>
      </c>
      <c r="BI91" s="807" t="e">
        <f t="shared" si="146"/>
        <v>#DIV/0!</v>
      </c>
      <c r="BJ91" s="809" t="s">
        <v>1375</v>
      </c>
      <c r="BK91" s="844">
        <v>1</v>
      </c>
      <c r="BL91" s="1280"/>
      <c r="BM91" s="810">
        <v>0</v>
      </c>
      <c r="BN91" s="949">
        <v>0</v>
      </c>
      <c r="BO91" s="946">
        <v>0</v>
      </c>
      <c r="BP91" s="807">
        <f t="shared" si="148"/>
        <v>0</v>
      </c>
      <c r="BQ91" s="807" t="e">
        <f t="shared" si="149"/>
        <v>#DIV/0!</v>
      </c>
      <c r="BR91" s="807">
        <f t="shared" si="150"/>
        <v>0</v>
      </c>
      <c r="BS91" s="807" t="e">
        <f t="shared" si="151"/>
        <v>#DIV/0!</v>
      </c>
      <c r="BT91" s="948" t="s">
        <v>1901</v>
      </c>
      <c r="BU91" s="844">
        <v>0</v>
      </c>
      <c r="BV91" s="1280"/>
      <c r="BW91" s="810">
        <v>0</v>
      </c>
      <c r="BX91" s="1132">
        <v>0</v>
      </c>
      <c r="BY91" s="1130">
        <v>0</v>
      </c>
      <c r="BZ91" s="805" t="e">
        <f t="shared" si="153"/>
        <v>#DIV/0!</v>
      </c>
      <c r="CA91" s="805" t="e">
        <f t="shared" si="154"/>
        <v>#DIV/0!</v>
      </c>
      <c r="CB91" s="805">
        <f t="shared" si="155"/>
        <v>0</v>
      </c>
      <c r="CC91" s="805" t="e">
        <f t="shared" si="156"/>
        <v>#DIV/0!</v>
      </c>
      <c r="CD91" s="682" t="s">
        <v>2059</v>
      </c>
      <c r="CE91" s="631" t="str">
        <f t="shared" si="157"/>
        <v>No Prog ni Ejec</v>
      </c>
      <c r="CF91" s="631" t="str">
        <f t="shared" si="158"/>
        <v>No Prog ni Ejec</v>
      </c>
      <c r="CG91" s="631" t="str">
        <f t="shared" si="159"/>
        <v>No Prog ni Ejec</v>
      </c>
      <c r="CH91" s="631" t="str">
        <f t="shared" si="160"/>
        <v>No Prog ni Ejec</v>
      </c>
      <c r="CI91" s="631">
        <f t="shared" si="161"/>
        <v>0</v>
      </c>
      <c r="CJ91" s="631" t="str">
        <f t="shared" si="162"/>
        <v>No Prog ni Ejec</v>
      </c>
      <c r="CK91" s="631" t="str">
        <f t="shared" si="163"/>
        <v>No Prog ni Ejec</v>
      </c>
      <c r="CL91" s="685" t="str">
        <f t="shared" si="164"/>
        <v>No Prog ni Ejec</v>
      </c>
      <c r="CM91" s="127">
        <f t="shared" si="134"/>
        <v>0</v>
      </c>
      <c r="CU91" s="69">
        <v>4</v>
      </c>
    </row>
    <row r="92" spans="1:106" s="69" customFormat="1" ht="99.75" customHeight="1" x14ac:dyDescent="0.2">
      <c r="A92" s="684">
        <v>11700</v>
      </c>
      <c r="B92" s="627" t="s">
        <v>14</v>
      </c>
      <c r="C92" s="645" t="s">
        <v>500</v>
      </c>
      <c r="D92" s="645"/>
      <c r="E92" s="645"/>
      <c r="F92" s="645"/>
      <c r="G92" s="645" t="s">
        <v>1017</v>
      </c>
      <c r="H92" s="645"/>
      <c r="I92" s="645"/>
      <c r="J92" s="645"/>
      <c r="K92" s="645"/>
      <c r="L92" s="645" t="s">
        <v>1017</v>
      </c>
      <c r="M92" s="645"/>
      <c r="N92" s="645"/>
      <c r="O92" s="645"/>
      <c r="P92" s="645"/>
      <c r="Q92" s="627" t="s">
        <v>204</v>
      </c>
      <c r="R92" s="627" t="s">
        <v>204</v>
      </c>
      <c r="S92" s="629" t="s">
        <v>238</v>
      </c>
      <c r="T92" s="627" t="s">
        <v>94</v>
      </c>
      <c r="U92" s="627" t="s">
        <v>204</v>
      </c>
      <c r="V92" s="627" t="s">
        <v>204</v>
      </c>
      <c r="W92" s="629" t="s">
        <v>799</v>
      </c>
      <c r="X92" s="627" t="s">
        <v>766</v>
      </c>
      <c r="Y92" s="60" t="s">
        <v>406</v>
      </c>
      <c r="Z92" s="844">
        <v>4</v>
      </c>
      <c r="AA92" s="1210" t="s">
        <v>789</v>
      </c>
      <c r="AB92" s="1201" t="s">
        <v>779</v>
      </c>
      <c r="AC92" s="812">
        <v>0</v>
      </c>
      <c r="AD92" s="811">
        <v>1</v>
      </c>
      <c r="AE92" s="806" t="s">
        <v>16</v>
      </c>
      <c r="AF92" s="806" t="s">
        <v>21</v>
      </c>
      <c r="AG92" s="806" t="s">
        <v>204</v>
      </c>
      <c r="AH92" s="806" t="s">
        <v>633</v>
      </c>
      <c r="AI92" s="806" t="s">
        <v>77</v>
      </c>
      <c r="AJ92" s="806" t="s">
        <v>1287</v>
      </c>
      <c r="AK92" s="806" t="s">
        <v>781</v>
      </c>
      <c r="AL92" s="806" t="s">
        <v>43</v>
      </c>
      <c r="AM92" s="844">
        <v>4</v>
      </c>
      <c r="AN92" s="1201" t="str">
        <f>+AB92</f>
        <v>Dar cumplimiento al Decreto 1083 de 2015 "Por medio del cual se expide el Decreto único reglamentario del Sector de Función Publica</v>
      </c>
      <c r="AO92" s="812">
        <f t="shared" si="165"/>
        <v>0</v>
      </c>
      <c r="AP92" s="836" t="s">
        <v>46</v>
      </c>
      <c r="AQ92" s="844">
        <v>1</v>
      </c>
      <c r="AR92" s="1201" t="str">
        <f t="shared" si="137"/>
        <v>Dar cumplimiento al Decreto 1083 de 2015 "Por medio del cual se expide el Decreto único reglamentario del Sector de Función Publica</v>
      </c>
      <c r="AS92" s="846">
        <v>0</v>
      </c>
      <c r="AT92" s="466">
        <v>1</v>
      </c>
      <c r="AU92" s="840">
        <v>0</v>
      </c>
      <c r="AV92" s="807">
        <f t="shared" si="138"/>
        <v>1</v>
      </c>
      <c r="AW92" s="807" t="e">
        <f t="shared" si="139"/>
        <v>#DIV/0!</v>
      </c>
      <c r="AX92" s="807">
        <f t="shared" si="140"/>
        <v>0.25</v>
      </c>
      <c r="AY92" s="807" t="e">
        <f t="shared" si="141"/>
        <v>#DIV/0!</v>
      </c>
      <c r="AZ92" s="465" t="s">
        <v>1616</v>
      </c>
      <c r="BA92" s="844">
        <v>1</v>
      </c>
      <c r="BB92" s="1201" t="str">
        <f t="shared" si="142"/>
        <v>Dar cumplimiento al Decreto 1083 de 2015 "Por medio del cual se expide el Decreto único reglamentario del Sector de Función Publica</v>
      </c>
      <c r="BC92" s="846">
        <f>+AO92</f>
        <v>0</v>
      </c>
      <c r="BD92" s="817">
        <v>1</v>
      </c>
      <c r="BE92" s="810">
        <v>0</v>
      </c>
      <c r="BF92" s="807">
        <f t="shared" si="143"/>
        <v>1</v>
      </c>
      <c r="BG92" s="807" t="e">
        <f t="shared" si="144"/>
        <v>#DIV/0!</v>
      </c>
      <c r="BH92" s="807">
        <f t="shared" si="145"/>
        <v>0.5</v>
      </c>
      <c r="BI92" s="807" t="e">
        <f t="shared" si="146"/>
        <v>#DIV/0!</v>
      </c>
      <c r="BJ92" s="808" t="s">
        <v>1635</v>
      </c>
      <c r="BK92" s="844">
        <v>1</v>
      </c>
      <c r="BL92" s="1201" t="str">
        <f t="shared" si="147"/>
        <v>Dar cumplimiento al Decreto 1083 de 2015 "Por medio del cual se expide el Decreto único reglamentario del Sector de Función Publica</v>
      </c>
      <c r="BM92" s="846">
        <f>+AO92</f>
        <v>0</v>
      </c>
      <c r="BN92" s="949">
        <v>1</v>
      </c>
      <c r="BO92" s="946">
        <v>0</v>
      </c>
      <c r="BP92" s="807">
        <f t="shared" si="148"/>
        <v>1</v>
      </c>
      <c r="BQ92" s="807" t="e">
        <f t="shared" si="149"/>
        <v>#DIV/0!</v>
      </c>
      <c r="BR92" s="807">
        <f t="shared" si="150"/>
        <v>0.75</v>
      </c>
      <c r="BS92" s="807" t="e">
        <f t="shared" si="151"/>
        <v>#DIV/0!</v>
      </c>
      <c r="BT92" s="948" t="s">
        <v>1902</v>
      </c>
      <c r="BU92" s="844">
        <v>1</v>
      </c>
      <c r="BV92" s="1201" t="str">
        <f t="shared" si="152"/>
        <v>Dar cumplimiento al Decreto 1083 de 2015 "Por medio del cual se expide el Decreto único reglamentario del Sector de Función Publica</v>
      </c>
      <c r="BW92" s="846">
        <f>+AO92</f>
        <v>0</v>
      </c>
      <c r="BX92" s="1132">
        <v>1</v>
      </c>
      <c r="BY92" s="1130">
        <v>0</v>
      </c>
      <c r="BZ92" s="805">
        <f t="shared" si="153"/>
        <v>1</v>
      </c>
      <c r="CA92" s="805" t="e">
        <f t="shared" si="154"/>
        <v>#DIV/0!</v>
      </c>
      <c r="CB92" s="805">
        <f t="shared" si="155"/>
        <v>1</v>
      </c>
      <c r="CC92" s="805" t="e">
        <f t="shared" si="156"/>
        <v>#DIV/0!</v>
      </c>
      <c r="CD92" s="682" t="s">
        <v>2060</v>
      </c>
      <c r="CE92" s="631">
        <f t="shared" si="157"/>
        <v>1</v>
      </c>
      <c r="CF92" s="631" t="str">
        <f t="shared" si="158"/>
        <v>No Prog ni Ejec</v>
      </c>
      <c r="CG92" s="631">
        <f t="shared" si="159"/>
        <v>1</v>
      </c>
      <c r="CH92" s="631" t="str">
        <f t="shared" si="160"/>
        <v>No Prog ni Ejec</v>
      </c>
      <c r="CI92" s="631">
        <f t="shared" si="161"/>
        <v>1</v>
      </c>
      <c r="CJ92" s="631" t="str">
        <f t="shared" si="162"/>
        <v>No Prog ni Ejec</v>
      </c>
      <c r="CK92" s="631">
        <f t="shared" si="163"/>
        <v>1</v>
      </c>
      <c r="CL92" s="685" t="str">
        <f t="shared" si="164"/>
        <v>No Prog ni Ejec</v>
      </c>
      <c r="CM92" s="127">
        <f t="shared" si="134"/>
        <v>0</v>
      </c>
      <c r="CU92" s="69">
        <v>4</v>
      </c>
    </row>
    <row r="93" spans="1:106" s="69" customFormat="1" ht="104.25" customHeight="1" x14ac:dyDescent="0.2">
      <c r="A93" s="684">
        <v>11700</v>
      </c>
      <c r="B93" s="627" t="s">
        <v>14</v>
      </c>
      <c r="C93" s="645" t="s">
        <v>500</v>
      </c>
      <c r="D93" s="645"/>
      <c r="E93" s="645"/>
      <c r="F93" s="645"/>
      <c r="G93" s="645" t="s">
        <v>1017</v>
      </c>
      <c r="H93" s="645"/>
      <c r="I93" s="645"/>
      <c r="J93" s="645"/>
      <c r="K93" s="645"/>
      <c r="L93" s="645" t="s">
        <v>1017</v>
      </c>
      <c r="M93" s="645"/>
      <c r="N93" s="645"/>
      <c r="O93" s="645"/>
      <c r="P93" s="645"/>
      <c r="Q93" s="627" t="s">
        <v>204</v>
      </c>
      <c r="R93" s="627" t="s">
        <v>204</v>
      </c>
      <c r="S93" s="629" t="s">
        <v>238</v>
      </c>
      <c r="T93" s="627" t="s">
        <v>94</v>
      </c>
      <c r="U93" s="627" t="s">
        <v>204</v>
      </c>
      <c r="V93" s="627" t="s">
        <v>204</v>
      </c>
      <c r="W93" s="629" t="s">
        <v>1088</v>
      </c>
      <c r="X93" s="627" t="s">
        <v>767</v>
      </c>
      <c r="Y93" s="60" t="s">
        <v>406</v>
      </c>
      <c r="Z93" s="844">
        <v>1</v>
      </c>
      <c r="AA93" s="1210"/>
      <c r="AB93" s="1201"/>
      <c r="AC93" s="812">
        <v>0</v>
      </c>
      <c r="AD93" s="811">
        <v>1</v>
      </c>
      <c r="AE93" s="806" t="s">
        <v>16</v>
      </c>
      <c r="AF93" s="806" t="s">
        <v>21</v>
      </c>
      <c r="AG93" s="806" t="s">
        <v>204</v>
      </c>
      <c r="AH93" s="806" t="s">
        <v>633</v>
      </c>
      <c r="AI93" s="806" t="s">
        <v>77</v>
      </c>
      <c r="AJ93" s="806" t="s">
        <v>1287</v>
      </c>
      <c r="AK93" s="806" t="s">
        <v>782</v>
      </c>
      <c r="AL93" s="806" t="s">
        <v>43</v>
      </c>
      <c r="AM93" s="844">
        <v>1</v>
      </c>
      <c r="AN93" s="1201"/>
      <c r="AO93" s="812">
        <f t="shared" si="165"/>
        <v>0</v>
      </c>
      <c r="AP93" s="836" t="s">
        <v>46</v>
      </c>
      <c r="AQ93" s="844">
        <v>0</v>
      </c>
      <c r="AR93" s="1201"/>
      <c r="AS93" s="846">
        <v>0</v>
      </c>
      <c r="AT93" s="814">
        <v>0</v>
      </c>
      <c r="AU93" s="810">
        <v>0</v>
      </c>
      <c r="AV93" s="807" t="e">
        <f t="shared" si="138"/>
        <v>#DIV/0!</v>
      </c>
      <c r="AW93" s="807" t="e">
        <f t="shared" si="139"/>
        <v>#DIV/0!</v>
      </c>
      <c r="AX93" s="807">
        <f t="shared" si="140"/>
        <v>0</v>
      </c>
      <c r="AY93" s="807" t="e">
        <f t="shared" si="141"/>
        <v>#DIV/0!</v>
      </c>
      <c r="AZ93" s="492" t="s">
        <v>1331</v>
      </c>
      <c r="BA93" s="844">
        <v>0</v>
      </c>
      <c r="BB93" s="1201"/>
      <c r="BC93" s="846">
        <f>+AO93</f>
        <v>0</v>
      </c>
      <c r="BD93" s="817">
        <v>0</v>
      </c>
      <c r="BE93" s="810">
        <v>0</v>
      </c>
      <c r="BF93" s="807" t="e">
        <f t="shared" si="143"/>
        <v>#DIV/0!</v>
      </c>
      <c r="BG93" s="807" t="e">
        <f t="shared" si="144"/>
        <v>#DIV/0!</v>
      </c>
      <c r="BH93" s="807">
        <f t="shared" si="145"/>
        <v>0</v>
      </c>
      <c r="BI93" s="807" t="e">
        <f t="shared" si="146"/>
        <v>#DIV/0!</v>
      </c>
      <c r="BJ93" s="809" t="s">
        <v>1375</v>
      </c>
      <c r="BK93" s="844">
        <v>1</v>
      </c>
      <c r="BL93" s="1201"/>
      <c r="BM93" s="846">
        <f>+AO93</f>
        <v>0</v>
      </c>
      <c r="BN93" s="949">
        <v>0</v>
      </c>
      <c r="BO93" s="946">
        <v>0</v>
      </c>
      <c r="BP93" s="807">
        <f t="shared" si="148"/>
        <v>0</v>
      </c>
      <c r="BQ93" s="807" t="e">
        <f t="shared" si="149"/>
        <v>#DIV/0!</v>
      </c>
      <c r="BR93" s="807">
        <f t="shared" si="150"/>
        <v>0</v>
      </c>
      <c r="BS93" s="807" t="e">
        <f t="shared" si="151"/>
        <v>#DIV/0!</v>
      </c>
      <c r="BT93" s="948" t="s">
        <v>1903</v>
      </c>
      <c r="BU93" s="844">
        <v>0</v>
      </c>
      <c r="BV93" s="1201"/>
      <c r="BW93" s="846">
        <f>+AO93</f>
        <v>0</v>
      </c>
      <c r="BX93" s="1132">
        <v>0</v>
      </c>
      <c r="BY93" s="1130">
        <v>0</v>
      </c>
      <c r="BZ93" s="805" t="e">
        <f t="shared" si="153"/>
        <v>#DIV/0!</v>
      </c>
      <c r="CA93" s="805" t="e">
        <f t="shared" si="154"/>
        <v>#DIV/0!</v>
      </c>
      <c r="CB93" s="805">
        <f t="shared" si="155"/>
        <v>0</v>
      </c>
      <c r="CC93" s="805" t="e">
        <f t="shared" si="156"/>
        <v>#DIV/0!</v>
      </c>
      <c r="CD93" s="682" t="s">
        <v>2061</v>
      </c>
      <c r="CE93" s="631" t="str">
        <f t="shared" si="157"/>
        <v>No Prog ni Ejec</v>
      </c>
      <c r="CF93" s="631" t="str">
        <f t="shared" si="158"/>
        <v>No Prog ni Ejec</v>
      </c>
      <c r="CG93" s="631" t="str">
        <f t="shared" si="159"/>
        <v>No Prog ni Ejec</v>
      </c>
      <c r="CH93" s="631" t="str">
        <f t="shared" si="160"/>
        <v>No Prog ni Ejec</v>
      </c>
      <c r="CI93" s="631">
        <f t="shared" si="161"/>
        <v>0</v>
      </c>
      <c r="CJ93" s="631" t="str">
        <f t="shared" si="162"/>
        <v>No Prog ni Ejec</v>
      </c>
      <c r="CK93" s="631" t="str">
        <f t="shared" si="163"/>
        <v>No Prog ni Ejec</v>
      </c>
      <c r="CL93" s="685" t="str">
        <f t="shared" si="164"/>
        <v>No Prog ni Ejec</v>
      </c>
      <c r="CM93" s="127">
        <f t="shared" si="134"/>
        <v>0</v>
      </c>
      <c r="CU93" s="69">
        <v>4</v>
      </c>
    </row>
    <row r="94" spans="1:106" s="69" customFormat="1" ht="89.25" customHeight="1" x14ac:dyDescent="0.2">
      <c r="A94" s="684">
        <v>11700</v>
      </c>
      <c r="B94" s="627" t="s">
        <v>14</v>
      </c>
      <c r="C94" s="627" t="s">
        <v>335</v>
      </c>
      <c r="D94" s="627"/>
      <c r="E94" s="627"/>
      <c r="F94" s="627" t="s">
        <v>1017</v>
      </c>
      <c r="G94" s="627"/>
      <c r="H94" s="627" t="s">
        <v>1017</v>
      </c>
      <c r="I94" s="627"/>
      <c r="J94" s="627"/>
      <c r="K94" s="627"/>
      <c r="L94" s="627" t="s">
        <v>1017</v>
      </c>
      <c r="M94" s="627"/>
      <c r="N94" s="627"/>
      <c r="O94" s="627"/>
      <c r="P94" s="627"/>
      <c r="Q94" s="627" t="s">
        <v>204</v>
      </c>
      <c r="R94" s="627" t="s">
        <v>204</v>
      </c>
      <c r="S94" s="629" t="s">
        <v>238</v>
      </c>
      <c r="T94" s="627" t="s">
        <v>94</v>
      </c>
      <c r="U94" s="627" t="s">
        <v>204</v>
      </c>
      <c r="V94" s="627" t="s">
        <v>204</v>
      </c>
      <c r="W94" s="629" t="s">
        <v>800</v>
      </c>
      <c r="X94" s="627" t="s">
        <v>816</v>
      </c>
      <c r="Y94" s="60" t="s">
        <v>406</v>
      </c>
      <c r="Z94" s="1374">
        <v>19</v>
      </c>
      <c r="AA94" s="1214" t="s">
        <v>790</v>
      </c>
      <c r="AB94" s="1201" t="s">
        <v>1557</v>
      </c>
      <c r="AC94" s="1283">
        <v>299390000</v>
      </c>
      <c r="AD94" s="1206">
        <v>1</v>
      </c>
      <c r="AE94" s="1201" t="s">
        <v>16</v>
      </c>
      <c r="AF94" s="1201" t="s">
        <v>21</v>
      </c>
      <c r="AG94" s="1201" t="s">
        <v>204</v>
      </c>
      <c r="AH94" s="1201" t="s">
        <v>633</v>
      </c>
      <c r="AI94" s="1201" t="s">
        <v>77</v>
      </c>
      <c r="AJ94" s="806" t="s">
        <v>1286</v>
      </c>
      <c r="AK94" s="1280" t="s">
        <v>825</v>
      </c>
      <c r="AL94" s="1201" t="s">
        <v>43</v>
      </c>
      <c r="AM94" s="1376">
        <v>19</v>
      </c>
      <c r="AN94" s="1201" t="str">
        <f>+AB94</f>
        <v>Realizar las actividades programadas en el Plan Anual Bienestar e Incentivos que implican costo a fin de fomentar la integración, respeto, tolerancia, sana competencia, esparcimiento y participación de los Servidores Públicos de la Entidad</v>
      </c>
      <c r="AO94" s="1283">
        <f>+AC94</f>
        <v>299390000</v>
      </c>
      <c r="AP94" s="836" t="s">
        <v>46</v>
      </c>
      <c r="AQ94" s="1376">
        <v>1</v>
      </c>
      <c r="AR94" s="1201" t="str">
        <f>+AN94</f>
        <v>Realizar las actividades programadas en el Plan Anual Bienestar e Incentivos que implican costo a fin de fomentar la integración, respeto, tolerancia, sana competencia, esparcimiento y participación de los Servidores Públicos de la Entidad</v>
      </c>
      <c r="AS94" s="1256">
        <v>0</v>
      </c>
      <c r="AT94" s="1214">
        <v>1</v>
      </c>
      <c r="AU94" s="1256">
        <v>0</v>
      </c>
      <c r="AV94" s="1196">
        <f>+(AT94/AQ94)</f>
        <v>1</v>
      </c>
      <c r="AW94" s="1196" t="e">
        <f>+(AU94/AS94)</f>
        <v>#DIV/0!</v>
      </c>
      <c r="AX94" s="1196">
        <f>+(AT94/AM94)</f>
        <v>5.2631578947368418E-2</v>
      </c>
      <c r="AY94" s="1196">
        <f>+(AU94/AO94)</f>
        <v>0</v>
      </c>
      <c r="AZ94" s="1299" t="s">
        <v>1764</v>
      </c>
      <c r="BA94" s="1376">
        <v>2</v>
      </c>
      <c r="BB94" s="1201" t="str">
        <f>+AN94</f>
        <v>Realizar las actividades programadas en el Plan Anual Bienestar e Incentivos que implican costo a fin de fomentar la integración, respeto, tolerancia, sana competencia, esparcimiento y participación de los Servidores Públicos de la Entidad</v>
      </c>
      <c r="BC94" s="1256">
        <f>+(AO94/18)*2</f>
        <v>33265555.555555556</v>
      </c>
      <c r="BD94" s="1214">
        <v>2</v>
      </c>
      <c r="BE94" s="1205">
        <v>16500000</v>
      </c>
      <c r="BF94" s="1196">
        <f>+(BD94/BA94)</f>
        <v>1</v>
      </c>
      <c r="BG94" s="1196">
        <f>+(BE94/BC94)</f>
        <v>0.49600855071979694</v>
      </c>
      <c r="BH94" s="1196">
        <f>+(BD94+AT94)/AM94</f>
        <v>0.15789473684210525</v>
      </c>
      <c r="BI94" s="1196">
        <f>+(BE94+AU94)/AO94</f>
        <v>5.5112061191088545E-2</v>
      </c>
      <c r="BJ94" s="1203" t="s">
        <v>1636</v>
      </c>
      <c r="BK94" s="1376">
        <v>6</v>
      </c>
      <c r="BL94" s="1201" t="str">
        <f>+AN94</f>
        <v>Realizar las actividades programadas en el Plan Anual Bienestar e Incentivos que implican costo a fin de fomentar la integración, respeto, tolerancia, sana competencia, esparcimiento y participación de los Servidores Públicos de la Entidad</v>
      </c>
      <c r="BM94" s="1256">
        <f>+(AO94/18)*6</f>
        <v>99796666.666666672</v>
      </c>
      <c r="BN94" s="1214">
        <v>3</v>
      </c>
      <c r="BO94" s="1256"/>
      <c r="BP94" s="1196">
        <f>+(BN94/BK94)</f>
        <v>0.5</v>
      </c>
      <c r="BQ94" s="1196">
        <f>+(BO94/BM94)</f>
        <v>0</v>
      </c>
      <c r="BR94" s="1196">
        <f>+(BD94+AT94+BN94)/AM94</f>
        <v>0.31578947368421051</v>
      </c>
      <c r="BS94" s="1196">
        <f>+(BE94+AU94+BO94)/AO94</f>
        <v>5.5112061191088545E-2</v>
      </c>
      <c r="BT94" s="1263" t="s">
        <v>1904</v>
      </c>
      <c r="BU94" s="1376">
        <v>10</v>
      </c>
      <c r="BV94" s="1201" t="str">
        <f>+AN94</f>
        <v>Realizar las actividades programadas en el Plan Anual Bienestar e Incentivos que implican costo a fin de fomentar la integración, respeto, tolerancia, sana competencia, esparcimiento y participación de los Servidores Públicos de la Entidad</v>
      </c>
      <c r="BW94" s="1256">
        <f>+(AO94/18)*10</f>
        <v>166327777.77777779</v>
      </c>
      <c r="BX94" s="1214">
        <v>13</v>
      </c>
      <c r="BY94" s="1387">
        <v>204090000</v>
      </c>
      <c r="BZ94" s="1328">
        <f>+(BX94/BU94)</f>
        <v>1.3</v>
      </c>
      <c r="CA94" s="1328">
        <f>+(BY94/BW94)</f>
        <v>1.2270349711079194</v>
      </c>
      <c r="CB94" s="1328">
        <f>+(BD94+AT94+BN94+BX94)/AM94</f>
        <v>1</v>
      </c>
      <c r="CC94" s="1328">
        <f>+(BE94+AU94+BO94+BY94)/AO94</f>
        <v>0.73679815625104383</v>
      </c>
      <c r="CD94" s="1386" t="s">
        <v>2062</v>
      </c>
      <c r="CE94" s="1208">
        <f t="shared" si="157"/>
        <v>1</v>
      </c>
      <c r="CF94" s="1208" t="str">
        <f t="shared" si="158"/>
        <v>No Prog ni Ejec</v>
      </c>
      <c r="CG94" s="1208">
        <f t="shared" si="159"/>
        <v>1</v>
      </c>
      <c r="CH94" s="1208">
        <f t="shared" si="160"/>
        <v>0.49600855071979694</v>
      </c>
      <c r="CI94" s="1208">
        <f t="shared" si="161"/>
        <v>0.5</v>
      </c>
      <c r="CJ94" s="1208">
        <f t="shared" si="162"/>
        <v>0</v>
      </c>
      <c r="CK94" s="1208">
        <f t="shared" si="163"/>
        <v>1.3</v>
      </c>
      <c r="CL94" s="1268">
        <f t="shared" si="164"/>
        <v>1.2270349711079194</v>
      </c>
      <c r="CM94" s="127">
        <f>+AC94-AS94-BC94-BM94-BW94</f>
        <v>0</v>
      </c>
      <c r="CX94" s="69">
        <v>7</v>
      </c>
      <c r="DB94" s="69">
        <v>11</v>
      </c>
    </row>
    <row r="95" spans="1:106" s="69" customFormat="1" ht="89.25" customHeight="1" x14ac:dyDescent="0.2">
      <c r="A95" s="684">
        <v>11700</v>
      </c>
      <c r="B95" s="627" t="s">
        <v>14</v>
      </c>
      <c r="C95" s="627" t="s">
        <v>335</v>
      </c>
      <c r="D95" s="627"/>
      <c r="E95" s="627"/>
      <c r="F95" s="627" t="s">
        <v>1017</v>
      </c>
      <c r="G95" s="627"/>
      <c r="H95" s="627" t="s">
        <v>1017</v>
      </c>
      <c r="I95" s="627"/>
      <c r="J95" s="627"/>
      <c r="K95" s="627"/>
      <c r="L95" s="627" t="s">
        <v>1017</v>
      </c>
      <c r="M95" s="627"/>
      <c r="N95" s="627"/>
      <c r="O95" s="627"/>
      <c r="P95" s="627"/>
      <c r="Q95" s="627" t="s">
        <v>204</v>
      </c>
      <c r="R95" s="627" t="s">
        <v>204</v>
      </c>
      <c r="S95" s="629" t="s">
        <v>238</v>
      </c>
      <c r="T95" s="627" t="s">
        <v>94</v>
      </c>
      <c r="U95" s="627" t="s">
        <v>204</v>
      </c>
      <c r="V95" s="627" t="s">
        <v>204</v>
      </c>
      <c r="W95" s="629" t="s">
        <v>1089</v>
      </c>
      <c r="X95" s="627" t="s">
        <v>817</v>
      </c>
      <c r="Y95" s="60" t="s">
        <v>406</v>
      </c>
      <c r="Z95" s="1374"/>
      <c r="AA95" s="1214"/>
      <c r="AB95" s="1201"/>
      <c r="AC95" s="1283"/>
      <c r="AD95" s="1206"/>
      <c r="AE95" s="1201"/>
      <c r="AF95" s="1201"/>
      <c r="AG95" s="1201"/>
      <c r="AH95" s="1201"/>
      <c r="AI95" s="1201"/>
      <c r="AJ95" s="806" t="s">
        <v>1286</v>
      </c>
      <c r="AK95" s="1280"/>
      <c r="AL95" s="1201"/>
      <c r="AM95" s="1376"/>
      <c r="AN95" s="1201"/>
      <c r="AO95" s="1283"/>
      <c r="AP95" s="836" t="s">
        <v>46</v>
      </c>
      <c r="AQ95" s="1376"/>
      <c r="AR95" s="1201"/>
      <c r="AS95" s="1256"/>
      <c r="AT95" s="1214"/>
      <c r="AU95" s="1256"/>
      <c r="AV95" s="1196"/>
      <c r="AW95" s="1196"/>
      <c r="AX95" s="1196"/>
      <c r="AY95" s="1196"/>
      <c r="AZ95" s="1299"/>
      <c r="BA95" s="1376"/>
      <c r="BB95" s="1201"/>
      <c r="BC95" s="1256"/>
      <c r="BD95" s="1214"/>
      <c r="BE95" s="1205"/>
      <c r="BF95" s="1196"/>
      <c r="BG95" s="1196"/>
      <c r="BH95" s="1196"/>
      <c r="BI95" s="1196"/>
      <c r="BJ95" s="1204"/>
      <c r="BK95" s="1376"/>
      <c r="BL95" s="1201"/>
      <c r="BM95" s="1256"/>
      <c r="BN95" s="1214"/>
      <c r="BO95" s="1256"/>
      <c r="BP95" s="1196"/>
      <c r="BQ95" s="1196"/>
      <c r="BR95" s="1196"/>
      <c r="BS95" s="1196"/>
      <c r="BT95" s="1263"/>
      <c r="BU95" s="1376"/>
      <c r="BV95" s="1201"/>
      <c r="BW95" s="1256"/>
      <c r="BX95" s="1214"/>
      <c r="BY95" s="1387"/>
      <c r="BZ95" s="1328"/>
      <c r="CA95" s="1328"/>
      <c r="CB95" s="1328"/>
      <c r="CC95" s="1328"/>
      <c r="CD95" s="1386"/>
      <c r="CE95" s="1208"/>
      <c r="CF95" s="1208"/>
      <c r="CG95" s="1208"/>
      <c r="CH95" s="1208"/>
      <c r="CI95" s="1208"/>
      <c r="CJ95" s="1208"/>
      <c r="CK95" s="1208"/>
      <c r="CL95" s="1268"/>
      <c r="CM95" s="127">
        <f>+AC95-AS95-BC95-BM95-BW95</f>
        <v>0</v>
      </c>
      <c r="CX95" s="69">
        <v>7</v>
      </c>
      <c r="DB95" s="69">
        <v>11</v>
      </c>
    </row>
    <row r="96" spans="1:106" s="69" customFormat="1" ht="102" customHeight="1" x14ac:dyDescent="0.2">
      <c r="A96" s="684">
        <v>11700</v>
      </c>
      <c r="B96" s="627" t="s">
        <v>14</v>
      </c>
      <c r="C96" s="627" t="s">
        <v>335</v>
      </c>
      <c r="D96" s="627"/>
      <c r="E96" s="627"/>
      <c r="F96" s="627" t="s">
        <v>1017</v>
      </c>
      <c r="G96" s="627"/>
      <c r="H96" s="627" t="s">
        <v>1017</v>
      </c>
      <c r="I96" s="627"/>
      <c r="J96" s="627"/>
      <c r="K96" s="627"/>
      <c r="L96" s="627" t="s">
        <v>1017</v>
      </c>
      <c r="M96" s="627"/>
      <c r="N96" s="627"/>
      <c r="O96" s="627"/>
      <c r="P96" s="627"/>
      <c r="Q96" s="627" t="s">
        <v>204</v>
      </c>
      <c r="R96" s="627" t="s">
        <v>204</v>
      </c>
      <c r="S96" s="629" t="s">
        <v>238</v>
      </c>
      <c r="T96" s="627" t="s">
        <v>94</v>
      </c>
      <c r="U96" s="627" t="s">
        <v>204</v>
      </c>
      <c r="V96" s="627" t="s">
        <v>204</v>
      </c>
      <c r="W96" s="629" t="s">
        <v>1090</v>
      </c>
      <c r="X96" s="627" t="s">
        <v>818</v>
      </c>
      <c r="Y96" s="60" t="s">
        <v>406</v>
      </c>
      <c r="Z96" s="1374"/>
      <c r="AA96" s="1214"/>
      <c r="AB96" s="1201"/>
      <c r="AC96" s="1283"/>
      <c r="AD96" s="1206"/>
      <c r="AE96" s="1201"/>
      <c r="AF96" s="1201"/>
      <c r="AG96" s="1201"/>
      <c r="AH96" s="1201"/>
      <c r="AI96" s="1201"/>
      <c r="AJ96" s="806" t="s">
        <v>1286</v>
      </c>
      <c r="AK96" s="1280"/>
      <c r="AL96" s="1201"/>
      <c r="AM96" s="1376"/>
      <c r="AN96" s="1201"/>
      <c r="AO96" s="1283"/>
      <c r="AP96" s="836" t="s">
        <v>46</v>
      </c>
      <c r="AQ96" s="1376"/>
      <c r="AR96" s="1201"/>
      <c r="AS96" s="1256"/>
      <c r="AT96" s="1214"/>
      <c r="AU96" s="1256"/>
      <c r="AV96" s="1196"/>
      <c r="AW96" s="1196"/>
      <c r="AX96" s="1196"/>
      <c r="AY96" s="1196"/>
      <c r="AZ96" s="1299"/>
      <c r="BA96" s="1376"/>
      <c r="BB96" s="1201"/>
      <c r="BC96" s="1256"/>
      <c r="BD96" s="1214"/>
      <c r="BE96" s="1205"/>
      <c r="BF96" s="1196"/>
      <c r="BG96" s="1196"/>
      <c r="BH96" s="1196"/>
      <c r="BI96" s="1196"/>
      <c r="BJ96" s="1204"/>
      <c r="BK96" s="1376"/>
      <c r="BL96" s="1201"/>
      <c r="BM96" s="1256"/>
      <c r="BN96" s="1214"/>
      <c r="BO96" s="1256"/>
      <c r="BP96" s="1196"/>
      <c r="BQ96" s="1196"/>
      <c r="BR96" s="1196"/>
      <c r="BS96" s="1196"/>
      <c r="BT96" s="1263"/>
      <c r="BU96" s="1376"/>
      <c r="BV96" s="1201"/>
      <c r="BW96" s="1256"/>
      <c r="BX96" s="1214"/>
      <c r="BY96" s="1387"/>
      <c r="BZ96" s="1328"/>
      <c r="CA96" s="1328"/>
      <c r="CB96" s="1328"/>
      <c r="CC96" s="1328"/>
      <c r="CD96" s="1386"/>
      <c r="CE96" s="1208"/>
      <c r="CF96" s="1208"/>
      <c r="CG96" s="1208"/>
      <c r="CH96" s="1208"/>
      <c r="CI96" s="1208"/>
      <c r="CJ96" s="1208"/>
      <c r="CK96" s="1208"/>
      <c r="CL96" s="1268"/>
      <c r="CM96" s="127"/>
      <c r="CX96" s="69">
        <v>7</v>
      </c>
      <c r="DB96" s="69">
        <v>11</v>
      </c>
    </row>
    <row r="97" spans="1:106" s="69" customFormat="1" ht="105.75" customHeight="1" x14ac:dyDescent="0.2">
      <c r="A97" s="684">
        <v>11700</v>
      </c>
      <c r="B97" s="627" t="s">
        <v>14</v>
      </c>
      <c r="C97" s="627" t="s">
        <v>335</v>
      </c>
      <c r="D97" s="627"/>
      <c r="E97" s="627"/>
      <c r="F97" s="627" t="s">
        <v>1017</v>
      </c>
      <c r="G97" s="627"/>
      <c r="H97" s="627" t="s">
        <v>1017</v>
      </c>
      <c r="I97" s="627"/>
      <c r="J97" s="627"/>
      <c r="K97" s="627"/>
      <c r="L97" s="627" t="s">
        <v>1017</v>
      </c>
      <c r="M97" s="627"/>
      <c r="N97" s="627"/>
      <c r="O97" s="627"/>
      <c r="P97" s="627"/>
      <c r="Q97" s="627" t="s">
        <v>204</v>
      </c>
      <c r="R97" s="627" t="s">
        <v>204</v>
      </c>
      <c r="S97" s="629" t="s">
        <v>238</v>
      </c>
      <c r="T97" s="627" t="s">
        <v>94</v>
      </c>
      <c r="U97" s="627" t="s">
        <v>204</v>
      </c>
      <c r="V97" s="627" t="s">
        <v>204</v>
      </c>
      <c r="W97" s="629" t="s">
        <v>1091</v>
      </c>
      <c r="X97" s="627" t="s">
        <v>819</v>
      </c>
      <c r="Y97" s="60" t="s">
        <v>406</v>
      </c>
      <c r="Z97" s="1374"/>
      <c r="AA97" s="1214"/>
      <c r="AB97" s="1201"/>
      <c r="AC97" s="1283"/>
      <c r="AD97" s="1206"/>
      <c r="AE97" s="1201"/>
      <c r="AF97" s="1201"/>
      <c r="AG97" s="1201"/>
      <c r="AH97" s="1201"/>
      <c r="AI97" s="1201"/>
      <c r="AJ97" s="806" t="s">
        <v>1286</v>
      </c>
      <c r="AK97" s="1280"/>
      <c r="AL97" s="1201"/>
      <c r="AM97" s="1376"/>
      <c r="AN97" s="1201"/>
      <c r="AO97" s="1283"/>
      <c r="AP97" s="836" t="s">
        <v>46</v>
      </c>
      <c r="AQ97" s="1376"/>
      <c r="AR97" s="1201"/>
      <c r="AS97" s="1256"/>
      <c r="AT97" s="1214"/>
      <c r="AU97" s="1256"/>
      <c r="AV97" s="1196"/>
      <c r="AW97" s="1196"/>
      <c r="AX97" s="1196"/>
      <c r="AY97" s="1196"/>
      <c r="AZ97" s="1299"/>
      <c r="BA97" s="1376"/>
      <c r="BB97" s="1201"/>
      <c r="BC97" s="1256"/>
      <c r="BD97" s="1214"/>
      <c r="BE97" s="1205"/>
      <c r="BF97" s="1196"/>
      <c r="BG97" s="1196"/>
      <c r="BH97" s="1196"/>
      <c r="BI97" s="1196"/>
      <c r="BJ97" s="1204"/>
      <c r="BK97" s="1376"/>
      <c r="BL97" s="1201"/>
      <c r="BM97" s="1256"/>
      <c r="BN97" s="1214"/>
      <c r="BO97" s="1256"/>
      <c r="BP97" s="1196"/>
      <c r="BQ97" s="1196"/>
      <c r="BR97" s="1196"/>
      <c r="BS97" s="1196"/>
      <c r="BT97" s="1263"/>
      <c r="BU97" s="1376"/>
      <c r="BV97" s="1201"/>
      <c r="BW97" s="1256"/>
      <c r="BX97" s="1214"/>
      <c r="BY97" s="1387"/>
      <c r="BZ97" s="1328"/>
      <c r="CA97" s="1328"/>
      <c r="CB97" s="1328"/>
      <c r="CC97" s="1328"/>
      <c r="CD97" s="1386"/>
      <c r="CE97" s="1208"/>
      <c r="CF97" s="1208"/>
      <c r="CG97" s="1208"/>
      <c r="CH97" s="1208"/>
      <c r="CI97" s="1208"/>
      <c r="CJ97" s="1208"/>
      <c r="CK97" s="1208"/>
      <c r="CL97" s="1268"/>
      <c r="CM97" s="127"/>
      <c r="CX97" s="69">
        <v>7</v>
      </c>
      <c r="DB97" s="69">
        <v>11</v>
      </c>
    </row>
    <row r="98" spans="1:106" s="69" customFormat="1" ht="104.25" customHeight="1" x14ac:dyDescent="0.2">
      <c r="A98" s="684">
        <v>11700</v>
      </c>
      <c r="B98" s="627" t="s">
        <v>14</v>
      </c>
      <c r="C98" s="627" t="s">
        <v>335</v>
      </c>
      <c r="D98" s="627"/>
      <c r="E98" s="627"/>
      <c r="F98" s="627" t="s">
        <v>1017</v>
      </c>
      <c r="G98" s="627"/>
      <c r="H98" s="627" t="s">
        <v>1017</v>
      </c>
      <c r="I98" s="627"/>
      <c r="J98" s="627"/>
      <c r="K98" s="627"/>
      <c r="L98" s="627" t="s">
        <v>1017</v>
      </c>
      <c r="M98" s="627"/>
      <c r="N98" s="627"/>
      <c r="O98" s="627"/>
      <c r="P98" s="627"/>
      <c r="Q98" s="627" t="s">
        <v>204</v>
      </c>
      <c r="R98" s="627" t="s">
        <v>204</v>
      </c>
      <c r="S98" s="629" t="s">
        <v>238</v>
      </c>
      <c r="T98" s="627" t="s">
        <v>94</v>
      </c>
      <c r="U98" s="627" t="s">
        <v>204</v>
      </c>
      <c r="V98" s="627" t="s">
        <v>204</v>
      </c>
      <c r="W98" s="629" t="s">
        <v>1092</v>
      </c>
      <c r="X98" s="627" t="s">
        <v>820</v>
      </c>
      <c r="Y98" s="60" t="s">
        <v>406</v>
      </c>
      <c r="Z98" s="1374"/>
      <c r="AA98" s="1214"/>
      <c r="AB98" s="1201"/>
      <c r="AC98" s="1283"/>
      <c r="AD98" s="1206"/>
      <c r="AE98" s="1201"/>
      <c r="AF98" s="1201"/>
      <c r="AG98" s="1201"/>
      <c r="AH98" s="1201"/>
      <c r="AI98" s="1201"/>
      <c r="AJ98" s="806" t="s">
        <v>1286</v>
      </c>
      <c r="AK98" s="1280"/>
      <c r="AL98" s="1201"/>
      <c r="AM98" s="1376"/>
      <c r="AN98" s="1201"/>
      <c r="AO98" s="1283"/>
      <c r="AP98" s="836" t="s">
        <v>46</v>
      </c>
      <c r="AQ98" s="1376"/>
      <c r="AR98" s="1201"/>
      <c r="AS98" s="1256"/>
      <c r="AT98" s="1214"/>
      <c r="AU98" s="1256"/>
      <c r="AV98" s="1196"/>
      <c r="AW98" s="1196"/>
      <c r="AX98" s="1196"/>
      <c r="AY98" s="1196"/>
      <c r="AZ98" s="1299"/>
      <c r="BA98" s="1376"/>
      <c r="BB98" s="1201"/>
      <c r="BC98" s="1256"/>
      <c r="BD98" s="1214"/>
      <c r="BE98" s="1205"/>
      <c r="BF98" s="1196"/>
      <c r="BG98" s="1196"/>
      <c r="BH98" s="1196"/>
      <c r="BI98" s="1196"/>
      <c r="BJ98" s="1204"/>
      <c r="BK98" s="1376"/>
      <c r="BL98" s="1201"/>
      <c r="BM98" s="1256"/>
      <c r="BN98" s="1214"/>
      <c r="BO98" s="1256"/>
      <c r="BP98" s="1196"/>
      <c r="BQ98" s="1196"/>
      <c r="BR98" s="1196"/>
      <c r="BS98" s="1196"/>
      <c r="BT98" s="1263"/>
      <c r="BU98" s="1376"/>
      <c r="BV98" s="1201"/>
      <c r="BW98" s="1256"/>
      <c r="BX98" s="1214"/>
      <c r="BY98" s="1387"/>
      <c r="BZ98" s="1328"/>
      <c r="CA98" s="1328"/>
      <c r="CB98" s="1328"/>
      <c r="CC98" s="1328"/>
      <c r="CD98" s="1386"/>
      <c r="CE98" s="1208"/>
      <c r="CF98" s="1208"/>
      <c r="CG98" s="1208"/>
      <c r="CH98" s="1208"/>
      <c r="CI98" s="1208"/>
      <c r="CJ98" s="1208"/>
      <c r="CK98" s="1208"/>
      <c r="CL98" s="1268"/>
      <c r="CM98" s="127"/>
      <c r="CX98" s="69">
        <v>7</v>
      </c>
      <c r="DB98" s="69">
        <v>11</v>
      </c>
    </row>
    <row r="99" spans="1:106" s="69" customFormat="1" ht="104.25" customHeight="1" x14ac:dyDescent="0.2">
      <c r="A99" s="684">
        <v>11700</v>
      </c>
      <c r="B99" s="627" t="s">
        <v>14</v>
      </c>
      <c r="C99" s="627" t="s">
        <v>335</v>
      </c>
      <c r="D99" s="627"/>
      <c r="E99" s="627"/>
      <c r="F99" s="627"/>
      <c r="G99" s="627"/>
      <c r="H99" s="627" t="s">
        <v>1017</v>
      </c>
      <c r="I99" s="627"/>
      <c r="J99" s="627"/>
      <c r="K99" s="627"/>
      <c r="L99" s="627" t="s">
        <v>1017</v>
      </c>
      <c r="M99" s="627"/>
      <c r="N99" s="627"/>
      <c r="O99" s="627"/>
      <c r="P99" s="627"/>
      <c r="Q99" s="627" t="s">
        <v>204</v>
      </c>
      <c r="R99" s="627" t="s">
        <v>204</v>
      </c>
      <c r="S99" s="629" t="s">
        <v>111</v>
      </c>
      <c r="T99" s="627" t="s">
        <v>94</v>
      </c>
      <c r="U99" s="627" t="s">
        <v>204</v>
      </c>
      <c r="V99" s="627" t="s">
        <v>204</v>
      </c>
      <c r="W99" s="814" t="s">
        <v>1093</v>
      </c>
      <c r="X99" s="627" t="s">
        <v>821</v>
      </c>
      <c r="Y99" s="60" t="s">
        <v>406</v>
      </c>
      <c r="Z99" s="1374"/>
      <c r="AA99" s="1214"/>
      <c r="AB99" s="1201"/>
      <c r="AC99" s="1283"/>
      <c r="AD99" s="811">
        <v>1</v>
      </c>
      <c r="AE99" s="1201"/>
      <c r="AF99" s="1201"/>
      <c r="AG99" s="1201"/>
      <c r="AH99" s="1201"/>
      <c r="AI99" s="1201"/>
      <c r="AJ99" s="806" t="s">
        <v>1286</v>
      </c>
      <c r="AK99" s="1280"/>
      <c r="AL99" s="1201"/>
      <c r="AM99" s="1376"/>
      <c r="AN99" s="1201"/>
      <c r="AO99" s="1283"/>
      <c r="AP99" s="1214" t="s">
        <v>46</v>
      </c>
      <c r="AQ99" s="1376"/>
      <c r="AR99" s="1201"/>
      <c r="AS99" s="1256"/>
      <c r="AT99" s="1214"/>
      <c r="AU99" s="1256"/>
      <c r="AV99" s="1196"/>
      <c r="AW99" s="1196"/>
      <c r="AX99" s="1196"/>
      <c r="AY99" s="1196"/>
      <c r="AZ99" s="1299"/>
      <c r="BA99" s="1376"/>
      <c r="BB99" s="1201"/>
      <c r="BC99" s="1256"/>
      <c r="BD99" s="1214"/>
      <c r="BE99" s="1205"/>
      <c r="BF99" s="1196"/>
      <c r="BG99" s="1196"/>
      <c r="BH99" s="1196"/>
      <c r="BI99" s="1196"/>
      <c r="BJ99" s="1204"/>
      <c r="BK99" s="1376"/>
      <c r="BL99" s="1201"/>
      <c r="BM99" s="1256"/>
      <c r="BN99" s="1214"/>
      <c r="BO99" s="1256"/>
      <c r="BP99" s="1196"/>
      <c r="BQ99" s="1196"/>
      <c r="BR99" s="1196"/>
      <c r="BS99" s="1196"/>
      <c r="BT99" s="1263"/>
      <c r="BU99" s="1376"/>
      <c r="BV99" s="1201"/>
      <c r="BW99" s="1256"/>
      <c r="BX99" s="1214"/>
      <c r="BY99" s="1387"/>
      <c r="BZ99" s="1328"/>
      <c r="CA99" s="1328"/>
      <c r="CB99" s="1328"/>
      <c r="CC99" s="1328"/>
      <c r="CD99" s="1386"/>
      <c r="CE99" s="1208"/>
      <c r="CF99" s="1208"/>
      <c r="CG99" s="1208"/>
      <c r="CH99" s="1208"/>
      <c r="CI99" s="1208"/>
      <c r="CJ99" s="1208"/>
      <c r="CK99" s="1208"/>
      <c r="CL99" s="1268"/>
      <c r="CM99" s="127"/>
    </row>
    <row r="100" spans="1:106" s="69" customFormat="1" ht="104.25" customHeight="1" x14ac:dyDescent="0.2">
      <c r="A100" s="684">
        <v>11700</v>
      </c>
      <c r="B100" s="627" t="s">
        <v>14</v>
      </c>
      <c r="C100" s="627" t="s">
        <v>335</v>
      </c>
      <c r="D100" s="627"/>
      <c r="E100" s="627"/>
      <c r="F100" s="627"/>
      <c r="G100" s="627"/>
      <c r="H100" s="627" t="s">
        <v>1017</v>
      </c>
      <c r="I100" s="627"/>
      <c r="J100" s="627"/>
      <c r="K100" s="627"/>
      <c r="L100" s="627" t="s">
        <v>1017</v>
      </c>
      <c r="M100" s="627"/>
      <c r="N100" s="627"/>
      <c r="O100" s="627"/>
      <c r="P100" s="627"/>
      <c r="Q100" s="627" t="s">
        <v>204</v>
      </c>
      <c r="R100" s="627" t="s">
        <v>204</v>
      </c>
      <c r="S100" s="629" t="s">
        <v>111</v>
      </c>
      <c r="T100" s="627" t="s">
        <v>94</v>
      </c>
      <c r="U100" s="627" t="s">
        <v>204</v>
      </c>
      <c r="V100" s="627" t="s">
        <v>204</v>
      </c>
      <c r="W100" s="814" t="s">
        <v>1558</v>
      </c>
      <c r="X100" s="627" t="s">
        <v>804</v>
      </c>
      <c r="Y100" s="60" t="s">
        <v>406</v>
      </c>
      <c r="Z100" s="1374"/>
      <c r="AA100" s="1214"/>
      <c r="AB100" s="1201"/>
      <c r="AC100" s="1283"/>
      <c r="AD100" s="811">
        <v>1</v>
      </c>
      <c r="AE100" s="1201"/>
      <c r="AF100" s="1201"/>
      <c r="AG100" s="1201"/>
      <c r="AH100" s="1201"/>
      <c r="AI100" s="1201"/>
      <c r="AJ100" s="806" t="s">
        <v>1286</v>
      </c>
      <c r="AK100" s="1280"/>
      <c r="AL100" s="1201"/>
      <c r="AM100" s="1376"/>
      <c r="AN100" s="1201"/>
      <c r="AO100" s="1283"/>
      <c r="AP100" s="1214"/>
      <c r="AQ100" s="1376"/>
      <c r="AR100" s="1201"/>
      <c r="AS100" s="1256"/>
      <c r="AT100" s="1214"/>
      <c r="AU100" s="1256"/>
      <c r="AV100" s="1196"/>
      <c r="AW100" s="1196"/>
      <c r="AX100" s="1196"/>
      <c r="AY100" s="1196"/>
      <c r="AZ100" s="1299"/>
      <c r="BA100" s="1376"/>
      <c r="BB100" s="1201"/>
      <c r="BC100" s="1256"/>
      <c r="BD100" s="1214"/>
      <c r="BE100" s="1205"/>
      <c r="BF100" s="1196"/>
      <c r="BG100" s="1196"/>
      <c r="BH100" s="1196"/>
      <c r="BI100" s="1196"/>
      <c r="BJ100" s="1204"/>
      <c r="BK100" s="1376"/>
      <c r="BL100" s="1201"/>
      <c r="BM100" s="1256"/>
      <c r="BN100" s="1214"/>
      <c r="BO100" s="1256"/>
      <c r="BP100" s="1196"/>
      <c r="BQ100" s="1196"/>
      <c r="BR100" s="1196"/>
      <c r="BS100" s="1196"/>
      <c r="BT100" s="1263"/>
      <c r="BU100" s="1376"/>
      <c r="BV100" s="1201"/>
      <c r="BW100" s="1256"/>
      <c r="BX100" s="1214"/>
      <c r="BY100" s="1387"/>
      <c r="BZ100" s="1328"/>
      <c r="CA100" s="1328"/>
      <c r="CB100" s="1328"/>
      <c r="CC100" s="1328"/>
      <c r="CD100" s="1386"/>
      <c r="CE100" s="1208"/>
      <c r="CF100" s="1208"/>
      <c r="CG100" s="1208"/>
      <c r="CH100" s="1208"/>
      <c r="CI100" s="1208"/>
      <c r="CJ100" s="1208"/>
      <c r="CK100" s="1208"/>
      <c r="CL100" s="1268"/>
      <c r="CM100" s="127"/>
    </row>
    <row r="101" spans="1:106" s="69" customFormat="1" ht="104.25" customHeight="1" x14ac:dyDescent="0.2">
      <c r="A101" s="684">
        <v>11700</v>
      </c>
      <c r="B101" s="627" t="s">
        <v>14</v>
      </c>
      <c r="C101" s="627" t="s">
        <v>335</v>
      </c>
      <c r="D101" s="627"/>
      <c r="E101" s="627"/>
      <c r="F101" s="627"/>
      <c r="G101" s="627"/>
      <c r="H101" s="627" t="s">
        <v>1017</v>
      </c>
      <c r="I101" s="627"/>
      <c r="J101" s="627"/>
      <c r="K101" s="627"/>
      <c r="L101" s="627" t="s">
        <v>1017</v>
      </c>
      <c r="M101" s="627"/>
      <c r="N101" s="627"/>
      <c r="O101" s="627"/>
      <c r="P101" s="627"/>
      <c r="Q101" s="627" t="s">
        <v>204</v>
      </c>
      <c r="R101" s="627" t="s">
        <v>204</v>
      </c>
      <c r="S101" s="629" t="s">
        <v>111</v>
      </c>
      <c r="T101" s="627" t="s">
        <v>94</v>
      </c>
      <c r="U101" s="627" t="s">
        <v>204</v>
      </c>
      <c r="V101" s="627" t="s">
        <v>204</v>
      </c>
      <c r="W101" s="814" t="s">
        <v>1559</v>
      </c>
      <c r="X101" s="627" t="s">
        <v>805</v>
      </c>
      <c r="Y101" s="60" t="s">
        <v>406</v>
      </c>
      <c r="Z101" s="1374"/>
      <c r="AA101" s="1214"/>
      <c r="AB101" s="1201"/>
      <c r="AC101" s="1283"/>
      <c r="AD101" s="811">
        <v>1</v>
      </c>
      <c r="AE101" s="1201"/>
      <c r="AF101" s="1201"/>
      <c r="AG101" s="1201"/>
      <c r="AH101" s="1201"/>
      <c r="AI101" s="1201"/>
      <c r="AJ101" s="806" t="s">
        <v>1286</v>
      </c>
      <c r="AK101" s="1280"/>
      <c r="AL101" s="1201"/>
      <c r="AM101" s="1376"/>
      <c r="AN101" s="1201"/>
      <c r="AO101" s="1283"/>
      <c r="AP101" s="1214"/>
      <c r="AQ101" s="1376"/>
      <c r="AR101" s="1201"/>
      <c r="AS101" s="1256"/>
      <c r="AT101" s="1214"/>
      <c r="AU101" s="1256"/>
      <c r="AV101" s="1196"/>
      <c r="AW101" s="1196"/>
      <c r="AX101" s="1196"/>
      <c r="AY101" s="1196"/>
      <c r="AZ101" s="1299"/>
      <c r="BA101" s="1376"/>
      <c r="BB101" s="1201"/>
      <c r="BC101" s="1256"/>
      <c r="BD101" s="1214"/>
      <c r="BE101" s="1205"/>
      <c r="BF101" s="1196"/>
      <c r="BG101" s="1196"/>
      <c r="BH101" s="1196"/>
      <c r="BI101" s="1196"/>
      <c r="BJ101" s="1204"/>
      <c r="BK101" s="1376"/>
      <c r="BL101" s="1201"/>
      <c r="BM101" s="1256"/>
      <c r="BN101" s="1214"/>
      <c r="BO101" s="1256"/>
      <c r="BP101" s="1196"/>
      <c r="BQ101" s="1196"/>
      <c r="BR101" s="1196"/>
      <c r="BS101" s="1196"/>
      <c r="BT101" s="1263"/>
      <c r="BU101" s="1376"/>
      <c r="BV101" s="1201"/>
      <c r="BW101" s="1256"/>
      <c r="BX101" s="1214"/>
      <c r="BY101" s="1387"/>
      <c r="BZ101" s="1328"/>
      <c r="CA101" s="1328"/>
      <c r="CB101" s="1328"/>
      <c r="CC101" s="1328"/>
      <c r="CD101" s="1386"/>
      <c r="CE101" s="1208"/>
      <c r="CF101" s="1208"/>
      <c r="CG101" s="1208"/>
      <c r="CH101" s="1208"/>
      <c r="CI101" s="1208"/>
      <c r="CJ101" s="1208"/>
      <c r="CK101" s="1208"/>
      <c r="CL101" s="1268"/>
      <c r="CM101" s="127"/>
    </row>
    <row r="102" spans="1:106" s="69" customFormat="1" ht="104.25" customHeight="1" x14ac:dyDescent="0.2">
      <c r="A102" s="684">
        <v>11700</v>
      </c>
      <c r="B102" s="627" t="s">
        <v>14</v>
      </c>
      <c r="C102" s="627" t="s">
        <v>335</v>
      </c>
      <c r="D102" s="627"/>
      <c r="E102" s="627"/>
      <c r="F102" s="627"/>
      <c r="G102" s="627"/>
      <c r="H102" s="627" t="s">
        <v>1017</v>
      </c>
      <c r="I102" s="627"/>
      <c r="J102" s="627"/>
      <c r="K102" s="627"/>
      <c r="L102" s="627" t="s">
        <v>1017</v>
      </c>
      <c r="M102" s="627"/>
      <c r="N102" s="627"/>
      <c r="O102" s="627"/>
      <c r="P102" s="627"/>
      <c r="Q102" s="627" t="s">
        <v>204</v>
      </c>
      <c r="R102" s="627" t="s">
        <v>204</v>
      </c>
      <c r="S102" s="629" t="s">
        <v>111</v>
      </c>
      <c r="T102" s="627" t="s">
        <v>94</v>
      </c>
      <c r="U102" s="627" t="s">
        <v>204</v>
      </c>
      <c r="V102" s="627" t="s">
        <v>204</v>
      </c>
      <c r="W102" s="814" t="s">
        <v>1561</v>
      </c>
      <c r="X102" s="627" t="s">
        <v>806</v>
      </c>
      <c r="Y102" s="60" t="s">
        <v>406</v>
      </c>
      <c r="Z102" s="1374"/>
      <c r="AA102" s="1214"/>
      <c r="AB102" s="1201"/>
      <c r="AC102" s="1283"/>
      <c r="AD102" s="811">
        <v>1</v>
      </c>
      <c r="AE102" s="1201"/>
      <c r="AF102" s="1201"/>
      <c r="AG102" s="1201"/>
      <c r="AH102" s="1201"/>
      <c r="AI102" s="1201"/>
      <c r="AJ102" s="806" t="s">
        <v>1286</v>
      </c>
      <c r="AK102" s="1280"/>
      <c r="AL102" s="1201"/>
      <c r="AM102" s="1376"/>
      <c r="AN102" s="1201"/>
      <c r="AO102" s="1283"/>
      <c r="AP102" s="1214"/>
      <c r="AQ102" s="1376"/>
      <c r="AR102" s="1201"/>
      <c r="AS102" s="1256"/>
      <c r="AT102" s="1214"/>
      <c r="AU102" s="1256"/>
      <c r="AV102" s="1196"/>
      <c r="AW102" s="1196"/>
      <c r="AX102" s="1196"/>
      <c r="AY102" s="1196"/>
      <c r="AZ102" s="1299"/>
      <c r="BA102" s="1376"/>
      <c r="BB102" s="1201"/>
      <c r="BC102" s="1256"/>
      <c r="BD102" s="1214"/>
      <c r="BE102" s="1205"/>
      <c r="BF102" s="1196"/>
      <c r="BG102" s="1196"/>
      <c r="BH102" s="1196"/>
      <c r="BI102" s="1196"/>
      <c r="BJ102" s="1204"/>
      <c r="BK102" s="1376"/>
      <c r="BL102" s="1201"/>
      <c r="BM102" s="1256"/>
      <c r="BN102" s="1214"/>
      <c r="BO102" s="1256"/>
      <c r="BP102" s="1196"/>
      <c r="BQ102" s="1196"/>
      <c r="BR102" s="1196"/>
      <c r="BS102" s="1196"/>
      <c r="BT102" s="1263"/>
      <c r="BU102" s="1376"/>
      <c r="BV102" s="1201"/>
      <c r="BW102" s="1256"/>
      <c r="BX102" s="1214"/>
      <c r="BY102" s="1387"/>
      <c r="BZ102" s="1328"/>
      <c r="CA102" s="1328"/>
      <c r="CB102" s="1328"/>
      <c r="CC102" s="1328"/>
      <c r="CD102" s="1386"/>
      <c r="CE102" s="1208"/>
      <c r="CF102" s="1208"/>
      <c r="CG102" s="1208"/>
      <c r="CH102" s="1208"/>
      <c r="CI102" s="1208"/>
      <c r="CJ102" s="1208"/>
      <c r="CK102" s="1208"/>
      <c r="CL102" s="1268"/>
      <c r="CM102" s="127"/>
    </row>
    <row r="103" spans="1:106" s="69" customFormat="1" ht="104.25" customHeight="1" x14ac:dyDescent="0.2">
      <c r="A103" s="684">
        <v>11700</v>
      </c>
      <c r="B103" s="627" t="s">
        <v>14</v>
      </c>
      <c r="C103" s="627" t="s">
        <v>335</v>
      </c>
      <c r="D103" s="627"/>
      <c r="E103" s="627"/>
      <c r="F103" s="627"/>
      <c r="G103" s="627"/>
      <c r="H103" s="627" t="s">
        <v>1017</v>
      </c>
      <c r="I103" s="627"/>
      <c r="J103" s="627"/>
      <c r="K103" s="627"/>
      <c r="L103" s="627" t="s">
        <v>1017</v>
      </c>
      <c r="M103" s="627"/>
      <c r="N103" s="627"/>
      <c r="O103" s="627"/>
      <c r="P103" s="627"/>
      <c r="Q103" s="627" t="s">
        <v>204</v>
      </c>
      <c r="R103" s="627" t="s">
        <v>204</v>
      </c>
      <c r="S103" s="629" t="s">
        <v>111</v>
      </c>
      <c r="T103" s="627" t="s">
        <v>94</v>
      </c>
      <c r="U103" s="627" t="s">
        <v>204</v>
      </c>
      <c r="V103" s="627" t="s">
        <v>204</v>
      </c>
      <c r="W103" s="814" t="s">
        <v>1562</v>
      </c>
      <c r="X103" s="627" t="s">
        <v>876</v>
      </c>
      <c r="Y103" s="60" t="s">
        <v>406</v>
      </c>
      <c r="Z103" s="1374"/>
      <c r="AA103" s="1214"/>
      <c r="AB103" s="1201"/>
      <c r="AC103" s="1283"/>
      <c r="AD103" s="811">
        <v>1</v>
      </c>
      <c r="AE103" s="1201"/>
      <c r="AF103" s="1201"/>
      <c r="AG103" s="1201"/>
      <c r="AH103" s="1201"/>
      <c r="AI103" s="1201"/>
      <c r="AJ103" s="806" t="s">
        <v>1286</v>
      </c>
      <c r="AK103" s="1280"/>
      <c r="AL103" s="1201"/>
      <c r="AM103" s="1376"/>
      <c r="AN103" s="1201"/>
      <c r="AO103" s="1283"/>
      <c r="AP103" s="1214"/>
      <c r="AQ103" s="1376"/>
      <c r="AR103" s="1201"/>
      <c r="AS103" s="1256"/>
      <c r="AT103" s="1214"/>
      <c r="AU103" s="1256"/>
      <c r="AV103" s="1196"/>
      <c r="AW103" s="1196"/>
      <c r="AX103" s="1196"/>
      <c r="AY103" s="1196"/>
      <c r="AZ103" s="1299"/>
      <c r="BA103" s="1376"/>
      <c r="BB103" s="1201"/>
      <c r="BC103" s="1256"/>
      <c r="BD103" s="1214"/>
      <c r="BE103" s="1205"/>
      <c r="BF103" s="1196"/>
      <c r="BG103" s="1196"/>
      <c r="BH103" s="1196"/>
      <c r="BI103" s="1196"/>
      <c r="BJ103" s="1204"/>
      <c r="BK103" s="1376"/>
      <c r="BL103" s="1201"/>
      <c r="BM103" s="1256"/>
      <c r="BN103" s="1214"/>
      <c r="BO103" s="1256"/>
      <c r="BP103" s="1196"/>
      <c r="BQ103" s="1196"/>
      <c r="BR103" s="1196"/>
      <c r="BS103" s="1196"/>
      <c r="BT103" s="1263"/>
      <c r="BU103" s="1376"/>
      <c r="BV103" s="1201"/>
      <c r="BW103" s="1256"/>
      <c r="BX103" s="1214"/>
      <c r="BY103" s="1387"/>
      <c r="BZ103" s="1328"/>
      <c r="CA103" s="1328"/>
      <c r="CB103" s="1328"/>
      <c r="CC103" s="1328"/>
      <c r="CD103" s="1386"/>
      <c r="CE103" s="1208"/>
      <c r="CF103" s="1208"/>
      <c r="CG103" s="1208"/>
      <c r="CH103" s="1208"/>
      <c r="CI103" s="1208"/>
      <c r="CJ103" s="1208"/>
      <c r="CK103" s="1208"/>
      <c r="CL103" s="1268"/>
      <c r="CM103" s="127"/>
    </row>
    <row r="104" spans="1:106" s="69" customFormat="1" ht="104.25" customHeight="1" x14ac:dyDescent="0.2">
      <c r="A104" s="684">
        <v>11700</v>
      </c>
      <c r="B104" s="627" t="s">
        <v>14</v>
      </c>
      <c r="C104" s="627" t="s">
        <v>335</v>
      </c>
      <c r="D104" s="627"/>
      <c r="E104" s="627"/>
      <c r="F104" s="627"/>
      <c r="G104" s="627"/>
      <c r="H104" s="627" t="s">
        <v>1017</v>
      </c>
      <c r="I104" s="627"/>
      <c r="J104" s="627"/>
      <c r="K104" s="627"/>
      <c r="L104" s="627" t="s">
        <v>1017</v>
      </c>
      <c r="M104" s="627"/>
      <c r="N104" s="627"/>
      <c r="O104" s="627"/>
      <c r="P104" s="627"/>
      <c r="Q104" s="627" t="s">
        <v>204</v>
      </c>
      <c r="R104" s="627" t="s">
        <v>204</v>
      </c>
      <c r="S104" s="629" t="s">
        <v>111</v>
      </c>
      <c r="T104" s="627" t="s">
        <v>94</v>
      </c>
      <c r="U104" s="627" t="s">
        <v>204</v>
      </c>
      <c r="V104" s="627" t="s">
        <v>204</v>
      </c>
      <c r="W104" s="814" t="s">
        <v>1563</v>
      </c>
      <c r="X104" s="627" t="s">
        <v>877</v>
      </c>
      <c r="Y104" s="60" t="s">
        <v>406</v>
      </c>
      <c r="Z104" s="1374"/>
      <c r="AA104" s="1214"/>
      <c r="AB104" s="1201"/>
      <c r="AC104" s="1283"/>
      <c r="AD104" s="811">
        <v>1</v>
      </c>
      <c r="AE104" s="1201"/>
      <c r="AF104" s="1201"/>
      <c r="AG104" s="1201"/>
      <c r="AH104" s="1201"/>
      <c r="AI104" s="1201"/>
      <c r="AJ104" s="806" t="s">
        <v>1286</v>
      </c>
      <c r="AK104" s="1280"/>
      <c r="AL104" s="1201"/>
      <c r="AM104" s="1376"/>
      <c r="AN104" s="1201"/>
      <c r="AO104" s="1283"/>
      <c r="AP104" s="1214"/>
      <c r="AQ104" s="1376"/>
      <c r="AR104" s="1201"/>
      <c r="AS104" s="1256"/>
      <c r="AT104" s="1214"/>
      <c r="AU104" s="1256"/>
      <c r="AV104" s="1196"/>
      <c r="AW104" s="1196"/>
      <c r="AX104" s="1196"/>
      <c r="AY104" s="1196"/>
      <c r="AZ104" s="1299"/>
      <c r="BA104" s="1376"/>
      <c r="BB104" s="1201"/>
      <c r="BC104" s="1256"/>
      <c r="BD104" s="1214"/>
      <c r="BE104" s="1205"/>
      <c r="BF104" s="1196"/>
      <c r="BG104" s="1196"/>
      <c r="BH104" s="1196"/>
      <c r="BI104" s="1196"/>
      <c r="BJ104" s="1204"/>
      <c r="BK104" s="1376"/>
      <c r="BL104" s="1201"/>
      <c r="BM104" s="1256"/>
      <c r="BN104" s="1214"/>
      <c r="BO104" s="1256"/>
      <c r="BP104" s="1196"/>
      <c r="BQ104" s="1196"/>
      <c r="BR104" s="1196"/>
      <c r="BS104" s="1196"/>
      <c r="BT104" s="1263"/>
      <c r="BU104" s="1376"/>
      <c r="BV104" s="1201"/>
      <c r="BW104" s="1256"/>
      <c r="BX104" s="1214"/>
      <c r="BY104" s="1387"/>
      <c r="BZ104" s="1328"/>
      <c r="CA104" s="1328"/>
      <c r="CB104" s="1328"/>
      <c r="CC104" s="1328"/>
      <c r="CD104" s="1386"/>
      <c r="CE104" s="1208"/>
      <c r="CF104" s="1208"/>
      <c r="CG104" s="1208"/>
      <c r="CH104" s="1208"/>
      <c r="CI104" s="1208"/>
      <c r="CJ104" s="1208"/>
      <c r="CK104" s="1208"/>
      <c r="CL104" s="1268"/>
      <c r="CM104" s="127"/>
    </row>
    <row r="105" spans="1:106" s="69" customFormat="1" ht="104.25" customHeight="1" x14ac:dyDescent="0.2">
      <c r="A105" s="684">
        <v>11700</v>
      </c>
      <c r="B105" s="627" t="s">
        <v>14</v>
      </c>
      <c r="C105" s="627" t="s">
        <v>335</v>
      </c>
      <c r="D105" s="627"/>
      <c r="E105" s="627"/>
      <c r="F105" s="627"/>
      <c r="G105" s="627"/>
      <c r="H105" s="627" t="s">
        <v>1017</v>
      </c>
      <c r="I105" s="627"/>
      <c r="J105" s="627"/>
      <c r="K105" s="627"/>
      <c r="L105" s="627" t="s">
        <v>1017</v>
      </c>
      <c r="M105" s="627"/>
      <c r="N105" s="627"/>
      <c r="O105" s="627"/>
      <c r="P105" s="627"/>
      <c r="Q105" s="627" t="s">
        <v>204</v>
      </c>
      <c r="R105" s="627" t="s">
        <v>204</v>
      </c>
      <c r="S105" s="629" t="s">
        <v>111</v>
      </c>
      <c r="T105" s="627" t="s">
        <v>94</v>
      </c>
      <c r="U105" s="627" t="s">
        <v>204</v>
      </c>
      <c r="V105" s="627" t="s">
        <v>204</v>
      </c>
      <c r="W105" s="814" t="s">
        <v>1564</v>
      </c>
      <c r="X105" s="627" t="s">
        <v>807</v>
      </c>
      <c r="Y105" s="60" t="s">
        <v>406</v>
      </c>
      <c r="Z105" s="1374"/>
      <c r="AA105" s="1214"/>
      <c r="AB105" s="1201"/>
      <c r="AC105" s="1283"/>
      <c r="AD105" s="811">
        <v>1</v>
      </c>
      <c r="AE105" s="1201"/>
      <c r="AF105" s="1201"/>
      <c r="AG105" s="1201"/>
      <c r="AH105" s="1201"/>
      <c r="AI105" s="1201"/>
      <c r="AJ105" s="806" t="s">
        <v>1286</v>
      </c>
      <c r="AK105" s="1280"/>
      <c r="AL105" s="1201"/>
      <c r="AM105" s="1376"/>
      <c r="AN105" s="1201"/>
      <c r="AO105" s="1283"/>
      <c r="AP105" s="1214"/>
      <c r="AQ105" s="1376"/>
      <c r="AR105" s="1201"/>
      <c r="AS105" s="1256"/>
      <c r="AT105" s="1214"/>
      <c r="AU105" s="1256"/>
      <c r="AV105" s="1196"/>
      <c r="AW105" s="1196"/>
      <c r="AX105" s="1196"/>
      <c r="AY105" s="1196"/>
      <c r="AZ105" s="1299"/>
      <c r="BA105" s="1376"/>
      <c r="BB105" s="1201"/>
      <c r="BC105" s="1256"/>
      <c r="BD105" s="1214"/>
      <c r="BE105" s="1205"/>
      <c r="BF105" s="1196"/>
      <c r="BG105" s="1196"/>
      <c r="BH105" s="1196"/>
      <c r="BI105" s="1196"/>
      <c r="BJ105" s="1204"/>
      <c r="BK105" s="1376"/>
      <c r="BL105" s="1201"/>
      <c r="BM105" s="1256"/>
      <c r="BN105" s="1214"/>
      <c r="BO105" s="1256"/>
      <c r="BP105" s="1196"/>
      <c r="BQ105" s="1196"/>
      <c r="BR105" s="1196"/>
      <c r="BS105" s="1196"/>
      <c r="BT105" s="1263"/>
      <c r="BU105" s="1376"/>
      <c r="BV105" s="1201"/>
      <c r="BW105" s="1256"/>
      <c r="BX105" s="1214"/>
      <c r="BY105" s="1387"/>
      <c r="BZ105" s="1328"/>
      <c r="CA105" s="1328"/>
      <c r="CB105" s="1328"/>
      <c r="CC105" s="1328"/>
      <c r="CD105" s="1386"/>
      <c r="CE105" s="1208"/>
      <c r="CF105" s="1208"/>
      <c r="CG105" s="1208"/>
      <c r="CH105" s="1208"/>
      <c r="CI105" s="1208"/>
      <c r="CJ105" s="1208"/>
      <c r="CK105" s="1208"/>
      <c r="CL105" s="1268"/>
      <c r="CM105" s="127"/>
    </row>
    <row r="106" spans="1:106" s="69" customFormat="1" ht="104.25" customHeight="1" x14ac:dyDescent="0.2">
      <c r="A106" s="684">
        <v>11700</v>
      </c>
      <c r="B106" s="627" t="s">
        <v>14</v>
      </c>
      <c r="C106" s="627" t="s">
        <v>335</v>
      </c>
      <c r="D106" s="627"/>
      <c r="E106" s="627"/>
      <c r="F106" s="627"/>
      <c r="G106" s="627"/>
      <c r="H106" s="627" t="s">
        <v>1017</v>
      </c>
      <c r="I106" s="627"/>
      <c r="J106" s="627"/>
      <c r="K106" s="627"/>
      <c r="L106" s="627" t="s">
        <v>1017</v>
      </c>
      <c r="M106" s="627"/>
      <c r="N106" s="627"/>
      <c r="O106" s="627"/>
      <c r="P106" s="627"/>
      <c r="Q106" s="627" t="s">
        <v>204</v>
      </c>
      <c r="R106" s="627" t="s">
        <v>204</v>
      </c>
      <c r="S106" s="629" t="s">
        <v>111</v>
      </c>
      <c r="T106" s="627" t="s">
        <v>94</v>
      </c>
      <c r="U106" s="627" t="s">
        <v>204</v>
      </c>
      <c r="V106" s="627" t="s">
        <v>204</v>
      </c>
      <c r="W106" s="814" t="s">
        <v>1565</v>
      </c>
      <c r="X106" s="627" t="s">
        <v>878</v>
      </c>
      <c r="Y106" s="60" t="s">
        <v>406</v>
      </c>
      <c r="Z106" s="1374"/>
      <c r="AA106" s="1214"/>
      <c r="AB106" s="1201"/>
      <c r="AC106" s="1283"/>
      <c r="AD106" s="811">
        <v>1</v>
      </c>
      <c r="AE106" s="1201"/>
      <c r="AF106" s="1201"/>
      <c r="AG106" s="1201"/>
      <c r="AH106" s="1201"/>
      <c r="AI106" s="1201"/>
      <c r="AJ106" s="806" t="s">
        <v>1286</v>
      </c>
      <c r="AK106" s="1280"/>
      <c r="AL106" s="1201"/>
      <c r="AM106" s="1376"/>
      <c r="AN106" s="1201"/>
      <c r="AO106" s="1283"/>
      <c r="AP106" s="1214"/>
      <c r="AQ106" s="1376"/>
      <c r="AR106" s="1201"/>
      <c r="AS106" s="1256"/>
      <c r="AT106" s="1214"/>
      <c r="AU106" s="1256"/>
      <c r="AV106" s="1196"/>
      <c r="AW106" s="1196"/>
      <c r="AX106" s="1196"/>
      <c r="AY106" s="1196"/>
      <c r="AZ106" s="1299"/>
      <c r="BA106" s="1376"/>
      <c r="BB106" s="1201"/>
      <c r="BC106" s="1256"/>
      <c r="BD106" s="1214"/>
      <c r="BE106" s="1205"/>
      <c r="BF106" s="1196"/>
      <c r="BG106" s="1196"/>
      <c r="BH106" s="1196"/>
      <c r="BI106" s="1196"/>
      <c r="BJ106" s="1204"/>
      <c r="BK106" s="1376"/>
      <c r="BL106" s="1201"/>
      <c r="BM106" s="1256"/>
      <c r="BN106" s="1214"/>
      <c r="BO106" s="1256"/>
      <c r="BP106" s="1196"/>
      <c r="BQ106" s="1196"/>
      <c r="BR106" s="1196"/>
      <c r="BS106" s="1196"/>
      <c r="BT106" s="1263"/>
      <c r="BU106" s="1376"/>
      <c r="BV106" s="1201"/>
      <c r="BW106" s="1256"/>
      <c r="BX106" s="1214"/>
      <c r="BY106" s="1387"/>
      <c r="BZ106" s="1328"/>
      <c r="CA106" s="1328"/>
      <c r="CB106" s="1328"/>
      <c r="CC106" s="1328"/>
      <c r="CD106" s="1386"/>
      <c r="CE106" s="1208"/>
      <c r="CF106" s="1208"/>
      <c r="CG106" s="1208"/>
      <c r="CH106" s="1208"/>
      <c r="CI106" s="1208"/>
      <c r="CJ106" s="1208"/>
      <c r="CK106" s="1208"/>
      <c r="CL106" s="1268"/>
      <c r="CM106" s="127"/>
    </row>
    <row r="107" spans="1:106" s="69" customFormat="1" ht="104.25" customHeight="1" x14ac:dyDescent="0.2">
      <c r="A107" s="684">
        <v>11700</v>
      </c>
      <c r="B107" s="627" t="s">
        <v>14</v>
      </c>
      <c r="C107" s="627" t="s">
        <v>335</v>
      </c>
      <c r="D107" s="627"/>
      <c r="E107" s="627"/>
      <c r="F107" s="627"/>
      <c r="G107" s="627"/>
      <c r="H107" s="627" t="s">
        <v>1017</v>
      </c>
      <c r="I107" s="627"/>
      <c r="J107" s="627"/>
      <c r="K107" s="627"/>
      <c r="L107" s="627" t="s">
        <v>1017</v>
      </c>
      <c r="M107" s="627"/>
      <c r="N107" s="627"/>
      <c r="O107" s="627"/>
      <c r="P107" s="627"/>
      <c r="Q107" s="627" t="s">
        <v>204</v>
      </c>
      <c r="R107" s="627" t="s">
        <v>204</v>
      </c>
      <c r="S107" s="629" t="s">
        <v>111</v>
      </c>
      <c r="T107" s="627" t="s">
        <v>94</v>
      </c>
      <c r="U107" s="627" t="s">
        <v>204</v>
      </c>
      <c r="V107" s="627" t="s">
        <v>204</v>
      </c>
      <c r="W107" s="814" t="s">
        <v>1566</v>
      </c>
      <c r="X107" s="627" t="s">
        <v>808</v>
      </c>
      <c r="Y107" s="60" t="s">
        <v>406</v>
      </c>
      <c r="Z107" s="1374"/>
      <c r="AA107" s="1214"/>
      <c r="AB107" s="1201"/>
      <c r="AC107" s="1283"/>
      <c r="AD107" s="811">
        <v>1</v>
      </c>
      <c r="AE107" s="1201"/>
      <c r="AF107" s="1201"/>
      <c r="AG107" s="1201"/>
      <c r="AH107" s="1201"/>
      <c r="AI107" s="1201"/>
      <c r="AJ107" s="806" t="s">
        <v>1286</v>
      </c>
      <c r="AK107" s="1280"/>
      <c r="AL107" s="1201"/>
      <c r="AM107" s="1376"/>
      <c r="AN107" s="1201"/>
      <c r="AO107" s="1283"/>
      <c r="AP107" s="1214"/>
      <c r="AQ107" s="1376"/>
      <c r="AR107" s="1201"/>
      <c r="AS107" s="1256"/>
      <c r="AT107" s="1214"/>
      <c r="AU107" s="1256"/>
      <c r="AV107" s="1196"/>
      <c r="AW107" s="1196"/>
      <c r="AX107" s="1196"/>
      <c r="AY107" s="1196"/>
      <c r="AZ107" s="1299"/>
      <c r="BA107" s="1376"/>
      <c r="BB107" s="1201"/>
      <c r="BC107" s="1256"/>
      <c r="BD107" s="1214"/>
      <c r="BE107" s="1205"/>
      <c r="BF107" s="1196"/>
      <c r="BG107" s="1196"/>
      <c r="BH107" s="1196"/>
      <c r="BI107" s="1196"/>
      <c r="BJ107" s="1204"/>
      <c r="BK107" s="1376"/>
      <c r="BL107" s="1201"/>
      <c r="BM107" s="1256"/>
      <c r="BN107" s="1214"/>
      <c r="BO107" s="1256"/>
      <c r="BP107" s="1196"/>
      <c r="BQ107" s="1196"/>
      <c r="BR107" s="1196"/>
      <c r="BS107" s="1196"/>
      <c r="BT107" s="1263"/>
      <c r="BU107" s="1376"/>
      <c r="BV107" s="1201"/>
      <c r="BW107" s="1256"/>
      <c r="BX107" s="1214"/>
      <c r="BY107" s="1387"/>
      <c r="BZ107" s="1328"/>
      <c r="CA107" s="1328"/>
      <c r="CB107" s="1328"/>
      <c r="CC107" s="1328"/>
      <c r="CD107" s="1386"/>
      <c r="CE107" s="1208"/>
      <c r="CF107" s="1208"/>
      <c r="CG107" s="1208"/>
      <c r="CH107" s="1208"/>
      <c r="CI107" s="1208"/>
      <c r="CJ107" s="1208"/>
      <c r="CK107" s="1208"/>
      <c r="CL107" s="1268"/>
      <c r="CM107" s="127"/>
    </row>
    <row r="108" spans="1:106" s="69" customFormat="1" ht="104.25" customHeight="1" x14ac:dyDescent="0.2">
      <c r="A108" s="684">
        <v>11700</v>
      </c>
      <c r="B108" s="627" t="s">
        <v>14</v>
      </c>
      <c r="C108" s="627" t="s">
        <v>335</v>
      </c>
      <c r="D108" s="627"/>
      <c r="E108" s="627"/>
      <c r="F108" s="627"/>
      <c r="G108" s="627"/>
      <c r="H108" s="627" t="s">
        <v>1017</v>
      </c>
      <c r="I108" s="627"/>
      <c r="J108" s="627"/>
      <c r="K108" s="627"/>
      <c r="L108" s="627" t="s">
        <v>1017</v>
      </c>
      <c r="M108" s="627"/>
      <c r="N108" s="627"/>
      <c r="O108" s="627"/>
      <c r="P108" s="627"/>
      <c r="Q108" s="627" t="s">
        <v>204</v>
      </c>
      <c r="R108" s="627" t="s">
        <v>204</v>
      </c>
      <c r="S108" s="629" t="s">
        <v>111</v>
      </c>
      <c r="T108" s="627" t="s">
        <v>94</v>
      </c>
      <c r="U108" s="627" t="s">
        <v>204</v>
      </c>
      <c r="V108" s="627" t="s">
        <v>204</v>
      </c>
      <c r="W108" s="814" t="s">
        <v>1567</v>
      </c>
      <c r="X108" s="806" t="s">
        <v>812</v>
      </c>
      <c r="Y108" s="60" t="s">
        <v>406</v>
      </c>
      <c r="Z108" s="1374"/>
      <c r="AA108" s="1214"/>
      <c r="AB108" s="1201"/>
      <c r="AC108" s="1283"/>
      <c r="AD108" s="811">
        <v>1</v>
      </c>
      <c r="AE108" s="1201"/>
      <c r="AF108" s="1201"/>
      <c r="AG108" s="1201"/>
      <c r="AH108" s="1201"/>
      <c r="AI108" s="1201"/>
      <c r="AJ108" s="806" t="s">
        <v>1286</v>
      </c>
      <c r="AK108" s="1280"/>
      <c r="AL108" s="1201"/>
      <c r="AM108" s="1376"/>
      <c r="AN108" s="1201"/>
      <c r="AO108" s="1283"/>
      <c r="AP108" s="1214"/>
      <c r="AQ108" s="1376"/>
      <c r="AR108" s="1201"/>
      <c r="AS108" s="1256"/>
      <c r="AT108" s="1214"/>
      <c r="AU108" s="1256"/>
      <c r="AV108" s="1196"/>
      <c r="AW108" s="1196"/>
      <c r="AX108" s="1196"/>
      <c r="AY108" s="1196"/>
      <c r="AZ108" s="1299"/>
      <c r="BA108" s="1376"/>
      <c r="BB108" s="1201"/>
      <c r="BC108" s="1256"/>
      <c r="BD108" s="1214"/>
      <c r="BE108" s="1205"/>
      <c r="BF108" s="1196"/>
      <c r="BG108" s="1196"/>
      <c r="BH108" s="1196"/>
      <c r="BI108" s="1196"/>
      <c r="BJ108" s="1204"/>
      <c r="BK108" s="1376"/>
      <c r="BL108" s="1201"/>
      <c r="BM108" s="1256"/>
      <c r="BN108" s="1214"/>
      <c r="BO108" s="1256"/>
      <c r="BP108" s="1196"/>
      <c r="BQ108" s="1196"/>
      <c r="BR108" s="1196"/>
      <c r="BS108" s="1196"/>
      <c r="BT108" s="1263"/>
      <c r="BU108" s="1376"/>
      <c r="BV108" s="1201"/>
      <c r="BW108" s="1256"/>
      <c r="BX108" s="1214"/>
      <c r="BY108" s="1387"/>
      <c r="BZ108" s="1328"/>
      <c r="CA108" s="1328"/>
      <c r="CB108" s="1328"/>
      <c r="CC108" s="1328"/>
      <c r="CD108" s="1386"/>
      <c r="CE108" s="1208"/>
      <c r="CF108" s="1208"/>
      <c r="CG108" s="1208"/>
      <c r="CH108" s="1208"/>
      <c r="CI108" s="1208"/>
      <c r="CJ108" s="1208"/>
      <c r="CK108" s="1208"/>
      <c r="CL108" s="1268"/>
      <c r="CM108" s="127"/>
    </row>
    <row r="109" spans="1:106" s="69" customFormat="1" ht="104.25" customHeight="1" x14ac:dyDescent="0.2">
      <c r="A109" s="684">
        <v>11700</v>
      </c>
      <c r="B109" s="627" t="s">
        <v>14</v>
      </c>
      <c r="C109" s="627" t="s">
        <v>335</v>
      </c>
      <c r="D109" s="627"/>
      <c r="E109" s="627"/>
      <c r="F109" s="627"/>
      <c r="G109" s="627"/>
      <c r="H109" s="627" t="s">
        <v>1017</v>
      </c>
      <c r="I109" s="627"/>
      <c r="J109" s="627"/>
      <c r="K109" s="627"/>
      <c r="L109" s="627" t="s">
        <v>1017</v>
      </c>
      <c r="M109" s="627"/>
      <c r="N109" s="627"/>
      <c r="O109" s="627"/>
      <c r="P109" s="627"/>
      <c r="Q109" s="627" t="s">
        <v>204</v>
      </c>
      <c r="R109" s="627" t="s">
        <v>204</v>
      </c>
      <c r="S109" s="629" t="s">
        <v>111</v>
      </c>
      <c r="T109" s="627" t="s">
        <v>94</v>
      </c>
      <c r="U109" s="627" t="s">
        <v>204</v>
      </c>
      <c r="V109" s="627" t="s">
        <v>204</v>
      </c>
      <c r="W109" s="814" t="s">
        <v>1568</v>
      </c>
      <c r="X109" s="806" t="s">
        <v>822</v>
      </c>
      <c r="Y109" s="60" t="s">
        <v>406</v>
      </c>
      <c r="Z109" s="1374"/>
      <c r="AA109" s="1214"/>
      <c r="AB109" s="1201"/>
      <c r="AC109" s="1283"/>
      <c r="AD109" s="811">
        <v>1</v>
      </c>
      <c r="AE109" s="1201"/>
      <c r="AF109" s="1201"/>
      <c r="AG109" s="1201"/>
      <c r="AH109" s="1201"/>
      <c r="AI109" s="1201"/>
      <c r="AJ109" s="806" t="s">
        <v>1286</v>
      </c>
      <c r="AK109" s="1280"/>
      <c r="AL109" s="1201"/>
      <c r="AM109" s="1376"/>
      <c r="AN109" s="1201"/>
      <c r="AO109" s="1283"/>
      <c r="AP109" s="1214"/>
      <c r="AQ109" s="1376"/>
      <c r="AR109" s="1201"/>
      <c r="AS109" s="1256"/>
      <c r="AT109" s="1214"/>
      <c r="AU109" s="1256"/>
      <c r="AV109" s="1196"/>
      <c r="AW109" s="1196"/>
      <c r="AX109" s="1196"/>
      <c r="AY109" s="1196"/>
      <c r="AZ109" s="1299"/>
      <c r="BA109" s="1376"/>
      <c r="BB109" s="1201"/>
      <c r="BC109" s="1256"/>
      <c r="BD109" s="1214"/>
      <c r="BE109" s="1205"/>
      <c r="BF109" s="1196"/>
      <c r="BG109" s="1196"/>
      <c r="BH109" s="1196"/>
      <c r="BI109" s="1196"/>
      <c r="BJ109" s="1204"/>
      <c r="BK109" s="1376"/>
      <c r="BL109" s="1201"/>
      <c r="BM109" s="1256"/>
      <c r="BN109" s="1214"/>
      <c r="BO109" s="1256"/>
      <c r="BP109" s="1196"/>
      <c r="BQ109" s="1196"/>
      <c r="BR109" s="1196"/>
      <c r="BS109" s="1196"/>
      <c r="BT109" s="1263"/>
      <c r="BU109" s="1376"/>
      <c r="BV109" s="1201"/>
      <c r="BW109" s="1256"/>
      <c r="BX109" s="1214"/>
      <c r="BY109" s="1387"/>
      <c r="BZ109" s="1328"/>
      <c r="CA109" s="1328"/>
      <c r="CB109" s="1328"/>
      <c r="CC109" s="1328"/>
      <c r="CD109" s="1386"/>
      <c r="CE109" s="1208"/>
      <c r="CF109" s="1208"/>
      <c r="CG109" s="1208"/>
      <c r="CH109" s="1208"/>
      <c r="CI109" s="1208"/>
      <c r="CJ109" s="1208"/>
      <c r="CK109" s="1208"/>
      <c r="CL109" s="1268"/>
      <c r="CM109" s="127"/>
    </row>
    <row r="110" spans="1:106" s="69" customFormat="1" ht="104.25" customHeight="1" x14ac:dyDescent="0.2">
      <c r="A110" s="684">
        <v>11700</v>
      </c>
      <c r="B110" s="627" t="s">
        <v>14</v>
      </c>
      <c r="C110" s="627" t="s">
        <v>335</v>
      </c>
      <c r="D110" s="627"/>
      <c r="E110" s="627"/>
      <c r="F110" s="627"/>
      <c r="G110" s="627"/>
      <c r="H110" s="627" t="s">
        <v>1017</v>
      </c>
      <c r="I110" s="627"/>
      <c r="J110" s="627"/>
      <c r="K110" s="627"/>
      <c r="L110" s="627" t="s">
        <v>1017</v>
      </c>
      <c r="M110" s="627"/>
      <c r="N110" s="627"/>
      <c r="O110" s="627"/>
      <c r="P110" s="627"/>
      <c r="Q110" s="627" t="s">
        <v>204</v>
      </c>
      <c r="R110" s="627" t="s">
        <v>204</v>
      </c>
      <c r="S110" s="629" t="s">
        <v>111</v>
      </c>
      <c r="T110" s="627" t="s">
        <v>94</v>
      </c>
      <c r="U110" s="627" t="s">
        <v>204</v>
      </c>
      <c r="V110" s="627" t="s">
        <v>204</v>
      </c>
      <c r="W110" s="814" t="s">
        <v>1569</v>
      </c>
      <c r="X110" s="806" t="s">
        <v>823</v>
      </c>
      <c r="Y110" s="60" t="s">
        <v>406</v>
      </c>
      <c r="Z110" s="1374"/>
      <c r="AA110" s="1214"/>
      <c r="AB110" s="1201"/>
      <c r="AC110" s="1283"/>
      <c r="AD110" s="811">
        <v>1</v>
      </c>
      <c r="AE110" s="1201"/>
      <c r="AF110" s="1201"/>
      <c r="AG110" s="1201"/>
      <c r="AH110" s="1201"/>
      <c r="AI110" s="1201"/>
      <c r="AJ110" s="806" t="s">
        <v>1286</v>
      </c>
      <c r="AK110" s="1280"/>
      <c r="AL110" s="1201"/>
      <c r="AM110" s="1376"/>
      <c r="AN110" s="1201"/>
      <c r="AO110" s="1283"/>
      <c r="AP110" s="1214"/>
      <c r="AQ110" s="1376"/>
      <c r="AR110" s="1201"/>
      <c r="AS110" s="1256"/>
      <c r="AT110" s="1214"/>
      <c r="AU110" s="1256"/>
      <c r="AV110" s="1196"/>
      <c r="AW110" s="1196"/>
      <c r="AX110" s="1196"/>
      <c r="AY110" s="1196"/>
      <c r="AZ110" s="1299"/>
      <c r="BA110" s="1376"/>
      <c r="BB110" s="1201"/>
      <c r="BC110" s="1256"/>
      <c r="BD110" s="1214"/>
      <c r="BE110" s="1205"/>
      <c r="BF110" s="1196"/>
      <c r="BG110" s="1196"/>
      <c r="BH110" s="1196"/>
      <c r="BI110" s="1196"/>
      <c r="BJ110" s="1204"/>
      <c r="BK110" s="1376"/>
      <c r="BL110" s="1201"/>
      <c r="BM110" s="1256"/>
      <c r="BN110" s="1214"/>
      <c r="BO110" s="1256"/>
      <c r="BP110" s="1196"/>
      <c r="BQ110" s="1196"/>
      <c r="BR110" s="1196"/>
      <c r="BS110" s="1196"/>
      <c r="BT110" s="1263"/>
      <c r="BU110" s="1376"/>
      <c r="BV110" s="1201"/>
      <c r="BW110" s="1256"/>
      <c r="BX110" s="1214"/>
      <c r="BY110" s="1387"/>
      <c r="BZ110" s="1328"/>
      <c r="CA110" s="1328"/>
      <c r="CB110" s="1328"/>
      <c r="CC110" s="1328"/>
      <c r="CD110" s="1386"/>
      <c r="CE110" s="1208"/>
      <c r="CF110" s="1208"/>
      <c r="CG110" s="1208"/>
      <c r="CH110" s="1208"/>
      <c r="CI110" s="1208"/>
      <c r="CJ110" s="1208"/>
      <c r="CK110" s="1208"/>
      <c r="CL110" s="1268"/>
      <c r="CM110" s="127"/>
    </row>
    <row r="111" spans="1:106" s="69" customFormat="1" ht="104.25" customHeight="1" x14ac:dyDescent="0.2">
      <c r="A111" s="684">
        <v>11700</v>
      </c>
      <c r="B111" s="627" t="s">
        <v>14</v>
      </c>
      <c r="C111" s="627" t="s">
        <v>335</v>
      </c>
      <c r="D111" s="627"/>
      <c r="E111" s="627"/>
      <c r="F111" s="627"/>
      <c r="G111" s="627"/>
      <c r="H111" s="627" t="s">
        <v>1017</v>
      </c>
      <c r="I111" s="627"/>
      <c r="J111" s="627"/>
      <c r="K111" s="627"/>
      <c r="L111" s="627" t="s">
        <v>1017</v>
      </c>
      <c r="M111" s="627"/>
      <c r="N111" s="627"/>
      <c r="O111" s="627"/>
      <c r="P111" s="627"/>
      <c r="Q111" s="627" t="s">
        <v>204</v>
      </c>
      <c r="R111" s="627" t="s">
        <v>204</v>
      </c>
      <c r="S111" s="629" t="s">
        <v>111</v>
      </c>
      <c r="T111" s="627" t="s">
        <v>94</v>
      </c>
      <c r="U111" s="627" t="s">
        <v>204</v>
      </c>
      <c r="V111" s="627" t="s">
        <v>204</v>
      </c>
      <c r="W111" s="814" t="s">
        <v>1570</v>
      </c>
      <c r="X111" s="806" t="s">
        <v>824</v>
      </c>
      <c r="Y111" s="60" t="s">
        <v>406</v>
      </c>
      <c r="Z111" s="1374"/>
      <c r="AA111" s="1214"/>
      <c r="AB111" s="1201"/>
      <c r="AC111" s="1283"/>
      <c r="AD111" s="811">
        <v>1</v>
      </c>
      <c r="AE111" s="1201"/>
      <c r="AF111" s="1201"/>
      <c r="AG111" s="1201"/>
      <c r="AH111" s="1201"/>
      <c r="AI111" s="1201"/>
      <c r="AJ111" s="806" t="s">
        <v>1286</v>
      </c>
      <c r="AK111" s="1280"/>
      <c r="AL111" s="1201"/>
      <c r="AM111" s="1376"/>
      <c r="AN111" s="1201"/>
      <c r="AO111" s="1283"/>
      <c r="AP111" s="1214"/>
      <c r="AQ111" s="1376"/>
      <c r="AR111" s="1201"/>
      <c r="AS111" s="1256"/>
      <c r="AT111" s="1214"/>
      <c r="AU111" s="1256"/>
      <c r="AV111" s="1196"/>
      <c r="AW111" s="1196"/>
      <c r="AX111" s="1196"/>
      <c r="AY111" s="1196"/>
      <c r="AZ111" s="1299"/>
      <c r="BA111" s="1376"/>
      <c r="BB111" s="1201"/>
      <c r="BC111" s="1256"/>
      <c r="BD111" s="1214"/>
      <c r="BE111" s="1205"/>
      <c r="BF111" s="1196"/>
      <c r="BG111" s="1196"/>
      <c r="BH111" s="1196"/>
      <c r="BI111" s="1196"/>
      <c r="BJ111" s="1204"/>
      <c r="BK111" s="1376"/>
      <c r="BL111" s="1201"/>
      <c r="BM111" s="1256"/>
      <c r="BN111" s="1214"/>
      <c r="BO111" s="1256"/>
      <c r="BP111" s="1196"/>
      <c r="BQ111" s="1196"/>
      <c r="BR111" s="1196"/>
      <c r="BS111" s="1196"/>
      <c r="BT111" s="1263"/>
      <c r="BU111" s="1376"/>
      <c r="BV111" s="1201"/>
      <c r="BW111" s="1256"/>
      <c r="BX111" s="1214"/>
      <c r="BY111" s="1387"/>
      <c r="BZ111" s="1328"/>
      <c r="CA111" s="1328"/>
      <c r="CB111" s="1328"/>
      <c r="CC111" s="1328"/>
      <c r="CD111" s="1386"/>
      <c r="CE111" s="1208"/>
      <c r="CF111" s="1208"/>
      <c r="CG111" s="1208"/>
      <c r="CH111" s="1208"/>
      <c r="CI111" s="1208"/>
      <c r="CJ111" s="1208"/>
      <c r="CK111" s="1208"/>
      <c r="CL111" s="1268"/>
      <c r="CM111" s="127"/>
    </row>
    <row r="112" spans="1:106" s="69" customFormat="1" ht="104.25" customHeight="1" x14ac:dyDescent="0.2">
      <c r="A112" s="684">
        <v>11700</v>
      </c>
      <c r="B112" s="627" t="s">
        <v>14</v>
      </c>
      <c r="C112" s="627" t="s">
        <v>335</v>
      </c>
      <c r="D112" s="627"/>
      <c r="E112" s="627"/>
      <c r="F112" s="627"/>
      <c r="G112" s="627"/>
      <c r="H112" s="627" t="s">
        <v>1017</v>
      </c>
      <c r="I112" s="627"/>
      <c r="J112" s="627"/>
      <c r="K112" s="627"/>
      <c r="L112" s="627" t="s">
        <v>1017</v>
      </c>
      <c r="M112" s="627"/>
      <c r="N112" s="627"/>
      <c r="O112" s="627"/>
      <c r="P112" s="627"/>
      <c r="Q112" s="627" t="s">
        <v>204</v>
      </c>
      <c r="R112" s="627" t="s">
        <v>204</v>
      </c>
      <c r="S112" s="629" t="s">
        <v>111</v>
      </c>
      <c r="T112" s="627" t="s">
        <v>94</v>
      </c>
      <c r="U112" s="627" t="s">
        <v>204</v>
      </c>
      <c r="V112" s="627" t="s">
        <v>204</v>
      </c>
      <c r="W112" s="814" t="s">
        <v>1571</v>
      </c>
      <c r="X112" s="806" t="s">
        <v>1560</v>
      </c>
      <c r="Y112" s="60" t="s">
        <v>390</v>
      </c>
      <c r="Z112" s="1374"/>
      <c r="AA112" s="1214"/>
      <c r="AB112" s="1201"/>
      <c r="AC112" s="1283"/>
      <c r="AD112" s="811">
        <v>1</v>
      </c>
      <c r="AE112" s="1201"/>
      <c r="AF112" s="1201"/>
      <c r="AG112" s="1201"/>
      <c r="AH112" s="1201"/>
      <c r="AI112" s="1201"/>
      <c r="AJ112" s="806" t="s">
        <v>1286</v>
      </c>
      <c r="AK112" s="1280"/>
      <c r="AL112" s="1201"/>
      <c r="AM112" s="1376"/>
      <c r="AN112" s="1201"/>
      <c r="AO112" s="1283"/>
      <c r="AP112" s="1214"/>
      <c r="AQ112" s="1376"/>
      <c r="AR112" s="1201"/>
      <c r="AS112" s="1256"/>
      <c r="AT112" s="1214"/>
      <c r="AU112" s="1256"/>
      <c r="AV112" s="1196"/>
      <c r="AW112" s="1196"/>
      <c r="AX112" s="1196"/>
      <c r="AY112" s="1196"/>
      <c r="AZ112" s="1299"/>
      <c r="BA112" s="1376"/>
      <c r="BB112" s="1201"/>
      <c r="BC112" s="1256"/>
      <c r="BD112" s="1214"/>
      <c r="BE112" s="1205"/>
      <c r="BF112" s="1196"/>
      <c r="BG112" s="1196"/>
      <c r="BH112" s="1196"/>
      <c r="BI112" s="1196"/>
      <c r="BJ112" s="1204"/>
      <c r="BK112" s="1376"/>
      <c r="BL112" s="1201"/>
      <c r="BM112" s="1256"/>
      <c r="BN112" s="1214"/>
      <c r="BO112" s="1256"/>
      <c r="BP112" s="1196"/>
      <c r="BQ112" s="1196"/>
      <c r="BR112" s="1196"/>
      <c r="BS112" s="1196"/>
      <c r="BT112" s="1263"/>
      <c r="BU112" s="1376"/>
      <c r="BV112" s="1201"/>
      <c r="BW112" s="1256"/>
      <c r="BX112" s="1214"/>
      <c r="BY112" s="1387"/>
      <c r="BZ112" s="1328"/>
      <c r="CA112" s="1328"/>
      <c r="CB112" s="1328"/>
      <c r="CC112" s="1328"/>
      <c r="CD112" s="1386"/>
      <c r="CE112" s="1208"/>
      <c r="CF112" s="1208"/>
      <c r="CG112" s="1208"/>
      <c r="CH112" s="1208"/>
      <c r="CI112" s="1208"/>
      <c r="CJ112" s="1208"/>
      <c r="CK112" s="1208"/>
      <c r="CL112" s="1268"/>
      <c r="CM112" s="127"/>
    </row>
    <row r="113" spans="1:107" s="570" customFormat="1" ht="105.75" hidden="1" customHeight="1" x14ac:dyDescent="0.2">
      <c r="A113" s="713">
        <v>11700</v>
      </c>
      <c r="B113" s="623" t="s">
        <v>14</v>
      </c>
      <c r="C113" s="623" t="s">
        <v>335</v>
      </c>
      <c r="D113" s="627"/>
      <c r="E113" s="627"/>
      <c r="F113" s="627" t="s">
        <v>1017</v>
      </c>
      <c r="G113" s="627"/>
      <c r="H113" s="627" t="s">
        <v>1017</v>
      </c>
      <c r="I113" s="627"/>
      <c r="J113" s="627"/>
      <c r="K113" s="627"/>
      <c r="L113" s="627" t="s">
        <v>1017</v>
      </c>
      <c r="M113" s="627"/>
      <c r="N113" s="627"/>
      <c r="O113" s="627"/>
      <c r="P113" s="627"/>
      <c r="Q113" s="627" t="s">
        <v>204</v>
      </c>
      <c r="R113" s="627" t="s">
        <v>204</v>
      </c>
      <c r="S113" s="629" t="s">
        <v>238</v>
      </c>
      <c r="T113" s="627" t="s">
        <v>94</v>
      </c>
      <c r="U113" s="627" t="s">
        <v>204</v>
      </c>
      <c r="V113" s="627" t="s">
        <v>204</v>
      </c>
      <c r="W113" s="628" t="s">
        <v>1093</v>
      </c>
      <c r="X113" s="623" t="s">
        <v>803</v>
      </c>
      <c r="Y113" s="589" t="s">
        <v>406</v>
      </c>
      <c r="Z113" s="585">
        <v>1</v>
      </c>
      <c r="AA113" s="1214"/>
      <c r="AB113" s="1337"/>
      <c r="AC113" s="837">
        <v>57000000</v>
      </c>
      <c r="AD113" s="811">
        <v>1</v>
      </c>
      <c r="AE113" s="806" t="s">
        <v>16</v>
      </c>
      <c r="AF113" s="806" t="s">
        <v>21</v>
      </c>
      <c r="AG113" s="806" t="s">
        <v>204</v>
      </c>
      <c r="AH113" s="806" t="s">
        <v>633</v>
      </c>
      <c r="AI113" s="806" t="s">
        <v>77</v>
      </c>
      <c r="AJ113" s="806" t="s">
        <v>1286</v>
      </c>
      <c r="AK113" s="1280"/>
      <c r="AL113" s="806" t="s">
        <v>43</v>
      </c>
      <c r="AM113" s="585">
        <v>1</v>
      </c>
      <c r="AN113" s="1337"/>
      <c r="AO113" s="837">
        <v>57000000</v>
      </c>
      <c r="AP113" s="836" t="s">
        <v>46</v>
      </c>
      <c r="AQ113" s="585">
        <v>0</v>
      </c>
      <c r="AR113" s="1201"/>
      <c r="AS113" s="835">
        <v>0</v>
      </c>
      <c r="AT113" s="834">
        <v>0</v>
      </c>
      <c r="AU113" s="835">
        <v>0</v>
      </c>
      <c r="AV113" s="832" t="e">
        <f t="shared" ref="AV113:AV117" si="166">+(AT113/AQ113)</f>
        <v>#DIV/0!</v>
      </c>
      <c r="AW113" s="832" t="e">
        <f t="shared" ref="AW113:AW117" si="167">+(AU113/AS113)</f>
        <v>#DIV/0!</v>
      </c>
      <c r="AX113" s="832">
        <f t="shared" ref="AX113:AX117" si="168">+(AT113/AM113)</f>
        <v>0</v>
      </c>
      <c r="AY113" s="832">
        <f t="shared" ref="AY113:AY115" si="169">+(AU113/AO113)</f>
        <v>0</v>
      </c>
      <c r="AZ113" s="586" t="s">
        <v>1331</v>
      </c>
      <c r="BA113" s="585">
        <v>0</v>
      </c>
      <c r="BB113" s="1337"/>
      <c r="BC113" s="835">
        <v>0</v>
      </c>
      <c r="BD113" s="564">
        <v>0</v>
      </c>
      <c r="BE113" s="835">
        <v>0</v>
      </c>
      <c r="BF113" s="832" t="e">
        <f t="shared" ref="BF113:BF117" si="170">+(BD113/BA113)</f>
        <v>#DIV/0!</v>
      </c>
      <c r="BG113" s="832" t="e">
        <f t="shared" ref="BG113:BG117" si="171">+(BE113/BC113)</f>
        <v>#DIV/0!</v>
      </c>
      <c r="BH113" s="832">
        <f t="shared" ref="BH113:BH117" si="172">+(BD113+AT113)/AM113</f>
        <v>0</v>
      </c>
      <c r="BI113" s="832">
        <f t="shared" ref="BI113:BI115" si="173">+(BE113+AU113)/AO113</f>
        <v>0</v>
      </c>
      <c r="BJ113" s="731" t="s">
        <v>1637</v>
      </c>
      <c r="BK113" s="585">
        <v>1</v>
      </c>
      <c r="BL113" s="1337"/>
      <c r="BM113" s="835">
        <f>+AO113</f>
        <v>57000000</v>
      </c>
      <c r="BN113" s="959">
        <v>0</v>
      </c>
      <c r="BO113" s="958">
        <v>0</v>
      </c>
      <c r="BP113" s="832">
        <f t="shared" ref="BP113:BP117" si="174">+(BN113/BK113)</f>
        <v>0</v>
      </c>
      <c r="BQ113" s="832">
        <f t="shared" ref="BQ113:BQ117" si="175">+(BO113/BM113)</f>
        <v>0</v>
      </c>
      <c r="BR113" s="832">
        <f t="shared" ref="BR113:BR117" si="176">+(BD113+AT113+BN113)/AM113</f>
        <v>0</v>
      </c>
      <c r="BS113" s="832">
        <f t="shared" ref="BS113:BS115" si="177">+(BE113+AU113+BO113)/AO113</f>
        <v>0</v>
      </c>
      <c r="BT113" s="961" t="s">
        <v>1638</v>
      </c>
      <c r="BU113" s="585">
        <v>0</v>
      </c>
      <c r="BV113" s="1337"/>
      <c r="BW113" s="835">
        <v>0</v>
      </c>
      <c r="BX113" s="1135">
        <v>0</v>
      </c>
      <c r="BY113" s="1133">
        <v>0</v>
      </c>
      <c r="BZ113" s="839" t="e">
        <f t="shared" ref="BZ113:BZ117" si="178">+(BX113/BU113)</f>
        <v>#DIV/0!</v>
      </c>
      <c r="CA113" s="839" t="e">
        <f t="shared" ref="CA113:CA117" si="179">+(BY113/BW113)</f>
        <v>#DIV/0!</v>
      </c>
      <c r="CB113" s="839">
        <f t="shared" ref="CB113:CB117" si="180">+(BD113+AT113+BN113+BX113)/AM113</f>
        <v>0</v>
      </c>
      <c r="CC113" s="839">
        <f t="shared" ref="CC113:CC115" si="181">+(BE113+AU113+BO113+BY113)/AO113</f>
        <v>0</v>
      </c>
      <c r="CD113" s="1079" t="s">
        <v>2050</v>
      </c>
      <c r="CE113" s="633" t="str">
        <f t="shared" si="157"/>
        <v>No Prog ni Ejec</v>
      </c>
      <c r="CF113" s="633" t="str">
        <f t="shared" si="158"/>
        <v>No Prog ni Ejec</v>
      </c>
      <c r="CG113" s="633" t="str">
        <f t="shared" si="159"/>
        <v>No Prog ni Ejec</v>
      </c>
      <c r="CH113" s="633" t="str">
        <f t="shared" si="160"/>
        <v>No Prog ni Ejec</v>
      </c>
      <c r="CI113" s="633">
        <f t="shared" si="161"/>
        <v>0</v>
      </c>
      <c r="CJ113" s="633">
        <f t="shared" si="162"/>
        <v>0</v>
      </c>
      <c r="CK113" s="633" t="str">
        <f t="shared" si="163"/>
        <v>No Prog ni Ejec</v>
      </c>
      <c r="CL113" s="741" t="str">
        <f t="shared" si="164"/>
        <v>No Prog ni Ejec</v>
      </c>
      <c r="CM113" s="569">
        <f t="shared" si="134"/>
        <v>0</v>
      </c>
      <c r="CR113" s="69"/>
      <c r="CS113" s="69"/>
      <c r="CT113" s="69"/>
      <c r="CU113" s="69"/>
      <c r="CV113" s="69"/>
      <c r="CW113" s="69"/>
      <c r="CX113" s="69">
        <v>7</v>
      </c>
      <c r="CY113" s="69"/>
      <c r="CZ113" s="69"/>
      <c r="DA113" s="69"/>
      <c r="DB113" s="69">
        <v>11</v>
      </c>
      <c r="DC113" s="69"/>
    </row>
    <row r="114" spans="1:107" s="69" customFormat="1" ht="191.25" x14ac:dyDescent="0.2">
      <c r="A114" s="684">
        <v>11700</v>
      </c>
      <c r="B114" s="627" t="s">
        <v>14</v>
      </c>
      <c r="C114" s="627" t="s">
        <v>335</v>
      </c>
      <c r="D114" s="627"/>
      <c r="E114" s="627"/>
      <c r="F114" s="627" t="s">
        <v>1017</v>
      </c>
      <c r="G114" s="627"/>
      <c r="H114" s="627" t="s">
        <v>1017</v>
      </c>
      <c r="I114" s="627"/>
      <c r="J114" s="627"/>
      <c r="K114" s="627"/>
      <c r="L114" s="627" t="s">
        <v>1017</v>
      </c>
      <c r="M114" s="627"/>
      <c r="N114" s="627"/>
      <c r="O114" s="627"/>
      <c r="P114" s="627"/>
      <c r="Q114" s="627" t="s">
        <v>204</v>
      </c>
      <c r="R114" s="627" t="s">
        <v>204</v>
      </c>
      <c r="S114" s="629" t="s">
        <v>238</v>
      </c>
      <c r="T114" s="627" t="s">
        <v>94</v>
      </c>
      <c r="U114" s="627" t="s">
        <v>204</v>
      </c>
      <c r="V114" s="627" t="s">
        <v>204</v>
      </c>
      <c r="W114" s="629" t="s">
        <v>801</v>
      </c>
      <c r="X114" s="627" t="s">
        <v>809</v>
      </c>
      <c r="Y114" s="60" t="s">
        <v>406</v>
      </c>
      <c r="Z114" s="66">
        <v>1</v>
      </c>
      <c r="AA114" s="814" t="s">
        <v>791</v>
      </c>
      <c r="AB114" s="806" t="s">
        <v>814</v>
      </c>
      <c r="AC114" s="1148">
        <v>5999550</v>
      </c>
      <c r="AD114" s="811">
        <v>1</v>
      </c>
      <c r="AE114" s="806" t="s">
        <v>16</v>
      </c>
      <c r="AF114" s="806" t="s">
        <v>21</v>
      </c>
      <c r="AG114" s="806" t="s">
        <v>204</v>
      </c>
      <c r="AH114" s="806" t="s">
        <v>633</v>
      </c>
      <c r="AI114" s="806" t="s">
        <v>77</v>
      </c>
      <c r="AJ114" s="806" t="s">
        <v>1286</v>
      </c>
      <c r="AK114" s="333" t="s">
        <v>825</v>
      </c>
      <c r="AL114" s="806" t="s">
        <v>43</v>
      </c>
      <c r="AM114" s="66">
        <v>1</v>
      </c>
      <c r="AN114" s="806" t="str">
        <f>+AB114</f>
        <v>Determinar y analizar el estado de la satisfacción laboral de los funcionarios, para identificar aspectos que puedan entorpecer la obtención de resultados de acuerdo a la misión de la entidad</v>
      </c>
      <c r="AO114" s="1148">
        <f>+AC114</f>
        <v>5999550</v>
      </c>
      <c r="AP114" s="836" t="s">
        <v>46</v>
      </c>
      <c r="AQ114" s="841">
        <v>0</v>
      </c>
      <c r="AR114" s="806" t="str">
        <f>+AN114</f>
        <v>Determinar y analizar el estado de la satisfacción laboral de los funcionarios, para identificar aspectos que puedan entorpecer la obtención de resultados de acuerdo a la misión de la entidad</v>
      </c>
      <c r="AS114" s="810">
        <v>0</v>
      </c>
      <c r="AT114" s="466">
        <v>0</v>
      </c>
      <c r="AU114" s="840">
        <v>0</v>
      </c>
      <c r="AV114" s="807" t="e">
        <f t="shared" si="166"/>
        <v>#DIV/0!</v>
      </c>
      <c r="AW114" s="807" t="e">
        <f t="shared" si="167"/>
        <v>#DIV/0!</v>
      </c>
      <c r="AX114" s="807">
        <f t="shared" si="168"/>
        <v>0</v>
      </c>
      <c r="AY114" s="807">
        <f t="shared" si="169"/>
        <v>0</v>
      </c>
      <c r="AZ114" s="492" t="s">
        <v>1331</v>
      </c>
      <c r="BA114" s="841">
        <v>0</v>
      </c>
      <c r="BB114" s="806" t="str">
        <f>+AN114</f>
        <v>Determinar y analizar el estado de la satisfacción laboral de los funcionarios, para identificar aspectos que puedan entorpecer la obtención de resultados de acuerdo a la misión de la entidad</v>
      </c>
      <c r="BC114" s="810">
        <v>0</v>
      </c>
      <c r="BD114" s="817">
        <v>0</v>
      </c>
      <c r="BE114" s="810">
        <v>0</v>
      </c>
      <c r="BF114" s="807" t="e">
        <f t="shared" si="170"/>
        <v>#DIV/0!</v>
      </c>
      <c r="BG114" s="807" t="e">
        <f t="shared" si="171"/>
        <v>#DIV/0!</v>
      </c>
      <c r="BH114" s="807">
        <f t="shared" si="172"/>
        <v>0</v>
      </c>
      <c r="BI114" s="807">
        <f t="shared" si="173"/>
        <v>0</v>
      </c>
      <c r="BJ114" s="809" t="s">
        <v>1375</v>
      </c>
      <c r="BK114" s="841">
        <v>1</v>
      </c>
      <c r="BL114" s="806" t="str">
        <f>+AN114</f>
        <v>Determinar y analizar el estado de la satisfacción laboral de los funcionarios, para identificar aspectos que puedan entorpecer la obtención de resultados de acuerdo a la misión de la entidad</v>
      </c>
      <c r="BM114" s="557">
        <f>+AO114</f>
        <v>5999550</v>
      </c>
      <c r="BN114" s="949">
        <v>0</v>
      </c>
      <c r="BO114" s="946">
        <v>0</v>
      </c>
      <c r="BP114" s="807">
        <f t="shared" si="174"/>
        <v>0</v>
      </c>
      <c r="BQ114" s="807">
        <f>+(BO114/BM114)</f>
        <v>0</v>
      </c>
      <c r="BR114" s="807">
        <f t="shared" si="176"/>
        <v>0</v>
      </c>
      <c r="BS114" s="807">
        <f t="shared" si="177"/>
        <v>0</v>
      </c>
      <c r="BT114" s="948" t="s">
        <v>1905</v>
      </c>
      <c r="BU114" s="841">
        <v>0</v>
      </c>
      <c r="BV114" s="806" t="str">
        <f>+AN114</f>
        <v>Determinar y analizar el estado de la satisfacción laboral de los funcionarios, para identificar aspectos que puedan entorpecer la obtención de resultados de acuerdo a la misión de la entidad</v>
      </c>
      <c r="BW114" s="74">
        <v>0</v>
      </c>
      <c r="BX114" s="1132">
        <v>1</v>
      </c>
      <c r="BY114" s="1130">
        <f>1679874+4319676</f>
        <v>5999550</v>
      </c>
      <c r="BZ114" s="805" t="e">
        <f>+(BX114/BU114)</f>
        <v>#DIV/0!</v>
      </c>
      <c r="CA114" s="805" t="e">
        <f>+(BY114/BW114)</f>
        <v>#DIV/0!</v>
      </c>
      <c r="CB114" s="805">
        <f t="shared" si="180"/>
        <v>1</v>
      </c>
      <c r="CC114" s="805">
        <f t="shared" si="181"/>
        <v>1</v>
      </c>
      <c r="CD114" s="1129" t="s">
        <v>2063</v>
      </c>
      <c r="CE114" s="631" t="str">
        <f t="shared" si="157"/>
        <v>No Prog ni Ejec</v>
      </c>
      <c r="CF114" s="631" t="str">
        <f t="shared" si="158"/>
        <v>No Prog ni Ejec</v>
      </c>
      <c r="CG114" s="631" t="str">
        <f t="shared" si="159"/>
        <v>No Prog ni Ejec</v>
      </c>
      <c r="CH114" s="631" t="str">
        <f t="shared" si="160"/>
        <v>No Prog ni Ejec</v>
      </c>
      <c r="CI114" s="631">
        <f t="shared" si="161"/>
        <v>0</v>
      </c>
      <c r="CJ114" s="631">
        <f t="shared" si="162"/>
        <v>0</v>
      </c>
      <c r="CK114" s="631" t="str">
        <f t="shared" si="163"/>
        <v>No Prog, Ejec=  1</v>
      </c>
      <c r="CL114" s="685" t="str">
        <f t="shared" si="164"/>
        <v>No Prog, Ejec=  5999550</v>
      </c>
      <c r="CM114" s="127">
        <f t="shared" si="134"/>
        <v>0</v>
      </c>
      <c r="CX114" s="69">
        <v>7</v>
      </c>
      <c r="DB114" s="69">
        <v>11</v>
      </c>
    </row>
    <row r="115" spans="1:107" s="570" customFormat="1" ht="105" hidden="1" customHeight="1" x14ac:dyDescent="0.2">
      <c r="A115" s="713">
        <v>11700</v>
      </c>
      <c r="B115" s="623" t="s">
        <v>14</v>
      </c>
      <c r="C115" s="623" t="s">
        <v>335</v>
      </c>
      <c r="D115" s="627"/>
      <c r="E115" s="627"/>
      <c r="F115" s="627" t="s">
        <v>1017</v>
      </c>
      <c r="G115" s="627"/>
      <c r="H115" s="627" t="s">
        <v>1017</v>
      </c>
      <c r="I115" s="627"/>
      <c r="J115" s="627"/>
      <c r="K115" s="627"/>
      <c r="L115" s="627" t="s">
        <v>1017</v>
      </c>
      <c r="M115" s="627"/>
      <c r="N115" s="627"/>
      <c r="O115" s="627"/>
      <c r="P115" s="627"/>
      <c r="Q115" s="627" t="s">
        <v>204</v>
      </c>
      <c r="R115" s="627" t="s">
        <v>204</v>
      </c>
      <c r="S115" s="629" t="s">
        <v>238</v>
      </c>
      <c r="T115" s="627" t="s">
        <v>94</v>
      </c>
      <c r="U115" s="627" t="s">
        <v>204</v>
      </c>
      <c r="V115" s="627" t="s">
        <v>204</v>
      </c>
      <c r="W115" s="628" t="s">
        <v>802</v>
      </c>
      <c r="X115" s="623" t="s">
        <v>810</v>
      </c>
      <c r="Y115" s="589" t="s">
        <v>406</v>
      </c>
      <c r="Z115" s="585">
        <v>2</v>
      </c>
      <c r="AA115" s="1346" t="s">
        <v>792</v>
      </c>
      <c r="AB115" s="1337" t="s">
        <v>815</v>
      </c>
      <c r="AC115" s="1353">
        <v>51453000</v>
      </c>
      <c r="AD115" s="811">
        <v>1</v>
      </c>
      <c r="AE115" s="806" t="s">
        <v>16</v>
      </c>
      <c r="AF115" s="806" t="s">
        <v>21</v>
      </c>
      <c r="AG115" s="806" t="s">
        <v>204</v>
      </c>
      <c r="AH115" s="806" t="s">
        <v>633</v>
      </c>
      <c r="AI115" s="806" t="s">
        <v>77</v>
      </c>
      <c r="AJ115" s="806" t="s">
        <v>1286</v>
      </c>
      <c r="AK115" s="590" t="s">
        <v>825</v>
      </c>
      <c r="AL115" s="806" t="s">
        <v>43</v>
      </c>
      <c r="AM115" s="585">
        <v>2</v>
      </c>
      <c r="AN115" s="1337" t="str">
        <f>+AB115</f>
        <v>Contribuir al bienestar integral de los funcionarios, mediante la promoción de hábitos saludables, acciones de prevención de la salud, diagnostico temprano, tratamiento oportuno de los factores de riesgo</v>
      </c>
      <c r="AO115" s="1353">
        <v>51453000</v>
      </c>
      <c r="AP115" s="836" t="s">
        <v>46</v>
      </c>
      <c r="AQ115" s="585">
        <v>0</v>
      </c>
      <c r="AR115" s="1337" t="str">
        <f>+AN115</f>
        <v>Contribuir al bienestar integral de los funcionarios, mediante la promoción de hábitos saludables, acciones de prevención de la salud, diagnostico temprano, tratamiento oportuno de los factores de riesgo</v>
      </c>
      <c r="AS115" s="835">
        <v>0</v>
      </c>
      <c r="AT115" s="834">
        <v>0</v>
      </c>
      <c r="AU115" s="835">
        <v>0</v>
      </c>
      <c r="AV115" s="832" t="e">
        <f t="shared" si="166"/>
        <v>#DIV/0!</v>
      </c>
      <c r="AW115" s="832" t="e">
        <f t="shared" si="167"/>
        <v>#DIV/0!</v>
      </c>
      <c r="AX115" s="832">
        <f t="shared" si="168"/>
        <v>0</v>
      </c>
      <c r="AY115" s="832">
        <f t="shared" si="169"/>
        <v>0</v>
      </c>
      <c r="AZ115" s="586" t="s">
        <v>1331</v>
      </c>
      <c r="BA115" s="585">
        <v>1</v>
      </c>
      <c r="BB115" s="1337" t="str">
        <f>+AN115</f>
        <v>Contribuir al bienestar integral de los funcionarios, mediante la promoción de hábitos saludables, acciones de prevención de la salud, diagnostico temprano, tratamiento oportuno de los factores de riesgo</v>
      </c>
      <c r="BC115" s="1349">
        <f>+AO115/2</f>
        <v>25726500</v>
      </c>
      <c r="BD115" s="564">
        <v>0</v>
      </c>
      <c r="BE115" s="835">
        <v>0</v>
      </c>
      <c r="BF115" s="832">
        <f t="shared" si="170"/>
        <v>0</v>
      </c>
      <c r="BG115" s="832">
        <f t="shared" si="171"/>
        <v>0</v>
      </c>
      <c r="BH115" s="832">
        <f t="shared" si="172"/>
        <v>0</v>
      </c>
      <c r="BI115" s="832">
        <f t="shared" si="173"/>
        <v>0</v>
      </c>
      <c r="BJ115" s="731" t="s">
        <v>1638</v>
      </c>
      <c r="BK115" s="585">
        <v>0</v>
      </c>
      <c r="BL115" s="1337" t="str">
        <f>+AN115</f>
        <v>Contribuir al bienestar integral de los funcionarios, mediante la promoción de hábitos saludables, acciones de prevención de la salud, diagnostico temprano, tratamiento oportuno de los factores de riesgo</v>
      </c>
      <c r="BM115" s="835">
        <v>0</v>
      </c>
      <c r="BN115" s="959">
        <v>0</v>
      </c>
      <c r="BO115" s="958">
        <v>0</v>
      </c>
      <c r="BP115" s="832" t="e">
        <f t="shared" si="174"/>
        <v>#DIV/0!</v>
      </c>
      <c r="BQ115" s="832" t="e">
        <f t="shared" si="175"/>
        <v>#DIV/0!</v>
      </c>
      <c r="BR115" s="832">
        <f t="shared" si="176"/>
        <v>0</v>
      </c>
      <c r="BS115" s="832">
        <f t="shared" si="177"/>
        <v>0</v>
      </c>
      <c r="BT115" s="961" t="s">
        <v>1638</v>
      </c>
      <c r="BU115" s="585">
        <v>1</v>
      </c>
      <c r="BV115" s="1337" t="str">
        <f>+AN115</f>
        <v>Contribuir al bienestar integral de los funcionarios, mediante la promoción de hábitos saludables, acciones de prevención de la salud, diagnostico temprano, tratamiento oportuno de los factores de riesgo</v>
      </c>
      <c r="BW115" s="1349">
        <f>+AO115/2</f>
        <v>25726500</v>
      </c>
      <c r="BX115" s="1135">
        <v>0</v>
      </c>
      <c r="BY115" s="1133">
        <v>0</v>
      </c>
      <c r="BZ115" s="839">
        <f t="shared" si="178"/>
        <v>0</v>
      </c>
      <c r="CA115" s="839">
        <f t="shared" si="179"/>
        <v>0</v>
      </c>
      <c r="CB115" s="839">
        <f t="shared" si="180"/>
        <v>0</v>
      </c>
      <c r="CC115" s="839">
        <f t="shared" si="181"/>
        <v>0</v>
      </c>
      <c r="CD115" s="1079" t="s">
        <v>2050</v>
      </c>
      <c r="CE115" s="633" t="str">
        <f t="shared" si="157"/>
        <v>No Prog ni Ejec</v>
      </c>
      <c r="CF115" s="633" t="str">
        <f t="shared" si="158"/>
        <v>No Prog ni Ejec</v>
      </c>
      <c r="CG115" s="633">
        <f t="shared" si="159"/>
        <v>0</v>
      </c>
      <c r="CH115" s="633">
        <f t="shared" si="160"/>
        <v>0</v>
      </c>
      <c r="CI115" s="633" t="str">
        <f t="shared" si="161"/>
        <v>No Prog ni Ejec</v>
      </c>
      <c r="CJ115" s="633" t="str">
        <f t="shared" si="162"/>
        <v>No Prog ni Ejec</v>
      </c>
      <c r="CK115" s="633">
        <f t="shared" si="163"/>
        <v>0</v>
      </c>
      <c r="CL115" s="741">
        <f t="shared" si="164"/>
        <v>0</v>
      </c>
      <c r="CM115" s="569">
        <f t="shared" si="134"/>
        <v>0</v>
      </c>
      <c r="CR115" s="69"/>
      <c r="CS115" s="69"/>
      <c r="CT115" s="69"/>
      <c r="CU115" s="69"/>
      <c r="CV115" s="69"/>
      <c r="CW115" s="69"/>
      <c r="CX115" s="69">
        <v>7</v>
      </c>
      <c r="CY115" s="69"/>
      <c r="CZ115" s="69"/>
      <c r="DA115" s="69"/>
      <c r="DB115" s="69">
        <v>11</v>
      </c>
      <c r="DC115" s="69"/>
    </row>
    <row r="116" spans="1:107" s="570" customFormat="1" ht="108.75" hidden="1" customHeight="1" x14ac:dyDescent="0.2">
      <c r="A116" s="713">
        <v>11700</v>
      </c>
      <c r="B116" s="623" t="s">
        <v>14</v>
      </c>
      <c r="C116" s="623" t="s">
        <v>335</v>
      </c>
      <c r="D116" s="627"/>
      <c r="E116" s="627"/>
      <c r="F116" s="627" t="s">
        <v>1017</v>
      </c>
      <c r="G116" s="627"/>
      <c r="H116" s="627" t="s">
        <v>1017</v>
      </c>
      <c r="I116" s="627"/>
      <c r="J116" s="627"/>
      <c r="K116" s="627"/>
      <c r="L116" s="627" t="s">
        <v>1017</v>
      </c>
      <c r="M116" s="627"/>
      <c r="N116" s="627"/>
      <c r="O116" s="627"/>
      <c r="P116" s="627"/>
      <c r="Q116" s="627" t="s">
        <v>204</v>
      </c>
      <c r="R116" s="627" t="s">
        <v>204</v>
      </c>
      <c r="S116" s="629" t="s">
        <v>238</v>
      </c>
      <c r="T116" s="627" t="s">
        <v>94</v>
      </c>
      <c r="U116" s="627" t="s">
        <v>204</v>
      </c>
      <c r="V116" s="627" t="s">
        <v>204</v>
      </c>
      <c r="W116" s="628" t="s">
        <v>1094</v>
      </c>
      <c r="X116" s="623" t="s">
        <v>811</v>
      </c>
      <c r="Y116" s="589" t="s">
        <v>406</v>
      </c>
      <c r="Z116" s="585">
        <v>2</v>
      </c>
      <c r="AA116" s="1346"/>
      <c r="AB116" s="1337"/>
      <c r="AC116" s="1353"/>
      <c r="AD116" s="1206">
        <v>1</v>
      </c>
      <c r="AE116" s="806" t="s">
        <v>16</v>
      </c>
      <c r="AF116" s="806" t="s">
        <v>21</v>
      </c>
      <c r="AG116" s="806" t="s">
        <v>204</v>
      </c>
      <c r="AH116" s="806" t="s">
        <v>633</v>
      </c>
      <c r="AI116" s="806" t="s">
        <v>77</v>
      </c>
      <c r="AJ116" s="806" t="s">
        <v>1286</v>
      </c>
      <c r="AK116" s="590" t="s">
        <v>825</v>
      </c>
      <c r="AL116" s="806" t="s">
        <v>43</v>
      </c>
      <c r="AM116" s="585">
        <v>2</v>
      </c>
      <c r="AN116" s="1337"/>
      <c r="AO116" s="1353"/>
      <c r="AP116" s="836" t="s">
        <v>46</v>
      </c>
      <c r="AQ116" s="585">
        <v>0</v>
      </c>
      <c r="AR116" s="1337"/>
      <c r="AS116" s="835">
        <v>0</v>
      </c>
      <c r="AT116" s="834">
        <v>0</v>
      </c>
      <c r="AU116" s="835">
        <v>0</v>
      </c>
      <c r="AV116" s="832" t="e">
        <f t="shared" si="166"/>
        <v>#DIV/0!</v>
      </c>
      <c r="AW116" s="832" t="e">
        <f t="shared" si="167"/>
        <v>#DIV/0!</v>
      </c>
      <c r="AX116" s="832">
        <f t="shared" si="168"/>
        <v>0</v>
      </c>
      <c r="AY116" s="832">
        <f>+(AU116/AO115)</f>
        <v>0</v>
      </c>
      <c r="AZ116" s="586" t="s">
        <v>1331</v>
      </c>
      <c r="BA116" s="585">
        <v>1</v>
      </c>
      <c r="BB116" s="1337"/>
      <c r="BC116" s="1349"/>
      <c r="BD116" s="564">
        <v>0</v>
      </c>
      <c r="BE116" s="835">
        <v>0</v>
      </c>
      <c r="BF116" s="832">
        <f t="shared" si="170"/>
        <v>0</v>
      </c>
      <c r="BG116" s="832" t="e">
        <f t="shared" si="171"/>
        <v>#DIV/0!</v>
      </c>
      <c r="BH116" s="832">
        <f t="shared" si="172"/>
        <v>0</v>
      </c>
      <c r="BI116" s="832">
        <f>+(BE116+AU116)/AO115</f>
        <v>0</v>
      </c>
      <c r="BJ116" s="731" t="s">
        <v>1638</v>
      </c>
      <c r="BK116" s="585">
        <v>0</v>
      </c>
      <c r="BL116" s="1337"/>
      <c r="BM116" s="835">
        <v>0</v>
      </c>
      <c r="BN116" s="959">
        <v>0</v>
      </c>
      <c r="BO116" s="958">
        <v>0</v>
      </c>
      <c r="BP116" s="832" t="e">
        <f t="shared" si="174"/>
        <v>#DIV/0!</v>
      </c>
      <c r="BQ116" s="832" t="e">
        <f t="shared" si="175"/>
        <v>#DIV/0!</v>
      </c>
      <c r="BR116" s="832">
        <f t="shared" si="176"/>
        <v>0</v>
      </c>
      <c r="BS116" s="832">
        <f>+(BE116+AU116+BO116)/AO115</f>
        <v>0</v>
      </c>
      <c r="BT116" s="961" t="s">
        <v>1638</v>
      </c>
      <c r="BU116" s="585">
        <v>1</v>
      </c>
      <c r="BV116" s="1337"/>
      <c r="BW116" s="1349"/>
      <c r="BX116" s="1135">
        <v>0</v>
      </c>
      <c r="BY116" s="1133">
        <v>0</v>
      </c>
      <c r="BZ116" s="839">
        <f t="shared" si="178"/>
        <v>0</v>
      </c>
      <c r="CA116" s="839" t="e">
        <f t="shared" si="179"/>
        <v>#DIV/0!</v>
      </c>
      <c r="CB116" s="839">
        <f t="shared" si="180"/>
        <v>0</v>
      </c>
      <c r="CC116" s="839">
        <f>+(BE116+AU116+BO116+BY116)/AO115</f>
        <v>0</v>
      </c>
      <c r="CD116" s="1079" t="s">
        <v>2050</v>
      </c>
      <c r="CE116" s="633" t="str">
        <f t="shared" si="157"/>
        <v>No Prog ni Ejec</v>
      </c>
      <c r="CF116" s="633" t="str">
        <f t="shared" si="158"/>
        <v>No Prog ni Ejec</v>
      </c>
      <c r="CG116" s="633">
        <f t="shared" si="159"/>
        <v>0</v>
      </c>
      <c r="CH116" s="633" t="str">
        <f t="shared" si="160"/>
        <v>No Prog ni Ejec</v>
      </c>
      <c r="CI116" s="633" t="str">
        <f t="shared" si="161"/>
        <v>No Prog ni Ejec</v>
      </c>
      <c r="CJ116" s="633" t="str">
        <f t="shared" si="162"/>
        <v>No Prog ni Ejec</v>
      </c>
      <c r="CK116" s="633">
        <f t="shared" si="163"/>
        <v>0</v>
      </c>
      <c r="CL116" s="741" t="str">
        <f t="shared" si="164"/>
        <v>No Prog ni Ejec</v>
      </c>
      <c r="CM116" s="569">
        <f t="shared" si="134"/>
        <v>0</v>
      </c>
      <c r="CR116" s="69"/>
      <c r="CS116" s="69"/>
      <c r="CT116" s="69"/>
      <c r="CU116" s="69"/>
      <c r="CV116" s="69"/>
      <c r="CW116" s="69"/>
      <c r="CX116" s="69">
        <v>7</v>
      </c>
      <c r="CY116" s="69"/>
      <c r="CZ116" s="69"/>
      <c r="DA116" s="69"/>
      <c r="DB116" s="69">
        <v>11</v>
      </c>
      <c r="DC116" s="69"/>
    </row>
    <row r="117" spans="1:107" s="570" customFormat="1" ht="89.25" hidden="1" x14ac:dyDescent="0.2">
      <c r="A117" s="713">
        <v>11700</v>
      </c>
      <c r="B117" s="623" t="s">
        <v>14</v>
      </c>
      <c r="C117" s="623" t="s">
        <v>335</v>
      </c>
      <c r="D117" s="627"/>
      <c r="E117" s="627"/>
      <c r="F117" s="627" t="s">
        <v>1017</v>
      </c>
      <c r="G117" s="627"/>
      <c r="H117" s="627" t="s">
        <v>1017</v>
      </c>
      <c r="I117" s="627"/>
      <c r="J117" s="627"/>
      <c r="K117" s="627"/>
      <c r="L117" s="627" t="s">
        <v>1017</v>
      </c>
      <c r="M117" s="627"/>
      <c r="N117" s="627"/>
      <c r="O117" s="627"/>
      <c r="P117" s="627"/>
      <c r="Q117" s="627" t="s">
        <v>204</v>
      </c>
      <c r="R117" s="627" t="s">
        <v>204</v>
      </c>
      <c r="S117" s="629" t="s">
        <v>238</v>
      </c>
      <c r="T117" s="627" t="s">
        <v>94</v>
      </c>
      <c r="U117" s="627" t="s">
        <v>204</v>
      </c>
      <c r="V117" s="627" t="s">
        <v>204</v>
      </c>
      <c r="W117" s="628" t="s">
        <v>1095</v>
      </c>
      <c r="X117" s="623" t="s">
        <v>813</v>
      </c>
      <c r="Y117" s="589" t="s">
        <v>406</v>
      </c>
      <c r="Z117" s="585">
        <v>2</v>
      </c>
      <c r="AA117" s="1346"/>
      <c r="AB117" s="1337"/>
      <c r="AC117" s="1353"/>
      <c r="AD117" s="1206"/>
      <c r="AE117" s="806" t="s">
        <v>16</v>
      </c>
      <c r="AF117" s="806" t="s">
        <v>21</v>
      </c>
      <c r="AG117" s="806" t="s">
        <v>204</v>
      </c>
      <c r="AH117" s="806" t="s">
        <v>633</v>
      </c>
      <c r="AI117" s="806" t="s">
        <v>77</v>
      </c>
      <c r="AJ117" s="806" t="s">
        <v>1286</v>
      </c>
      <c r="AK117" s="590" t="s">
        <v>825</v>
      </c>
      <c r="AL117" s="806" t="s">
        <v>43</v>
      </c>
      <c r="AM117" s="585">
        <v>2</v>
      </c>
      <c r="AN117" s="1337"/>
      <c r="AO117" s="1353"/>
      <c r="AP117" s="836" t="s">
        <v>46</v>
      </c>
      <c r="AQ117" s="585">
        <v>0</v>
      </c>
      <c r="AR117" s="1337"/>
      <c r="AS117" s="835">
        <v>0</v>
      </c>
      <c r="AT117" s="834">
        <v>0</v>
      </c>
      <c r="AU117" s="835">
        <v>0</v>
      </c>
      <c r="AV117" s="832" t="e">
        <f t="shared" si="166"/>
        <v>#DIV/0!</v>
      </c>
      <c r="AW117" s="832" t="e">
        <f t="shared" si="167"/>
        <v>#DIV/0!</v>
      </c>
      <c r="AX117" s="832">
        <f t="shared" si="168"/>
        <v>0</v>
      </c>
      <c r="AY117" s="832">
        <f>+(AU117/AO115)</f>
        <v>0</v>
      </c>
      <c r="AZ117" s="586" t="s">
        <v>1331</v>
      </c>
      <c r="BA117" s="585">
        <v>1</v>
      </c>
      <c r="BB117" s="1337"/>
      <c r="BC117" s="1349"/>
      <c r="BD117" s="564">
        <v>0</v>
      </c>
      <c r="BE117" s="835">
        <v>0</v>
      </c>
      <c r="BF117" s="832">
        <f t="shared" si="170"/>
        <v>0</v>
      </c>
      <c r="BG117" s="832" t="e">
        <f t="shared" si="171"/>
        <v>#DIV/0!</v>
      </c>
      <c r="BH117" s="832">
        <f t="shared" si="172"/>
        <v>0</v>
      </c>
      <c r="BI117" s="832">
        <f>+(BE117+AU117)/AO115</f>
        <v>0</v>
      </c>
      <c r="BJ117" s="731" t="s">
        <v>1638</v>
      </c>
      <c r="BK117" s="585">
        <v>0</v>
      </c>
      <c r="BL117" s="1337"/>
      <c r="BM117" s="835">
        <v>0</v>
      </c>
      <c r="BN117" s="959"/>
      <c r="BO117" s="958"/>
      <c r="BP117" s="832" t="e">
        <f t="shared" si="174"/>
        <v>#DIV/0!</v>
      </c>
      <c r="BQ117" s="832" t="e">
        <f t="shared" si="175"/>
        <v>#DIV/0!</v>
      </c>
      <c r="BR117" s="832">
        <f t="shared" si="176"/>
        <v>0</v>
      </c>
      <c r="BS117" s="832">
        <f>+(BE117+AU117+BO117)/AO115</f>
        <v>0</v>
      </c>
      <c r="BT117" s="832"/>
      <c r="BU117" s="585">
        <v>1</v>
      </c>
      <c r="BV117" s="1337"/>
      <c r="BW117" s="1349"/>
      <c r="BX117" s="1135">
        <v>0</v>
      </c>
      <c r="BY117" s="1133">
        <v>0</v>
      </c>
      <c r="BZ117" s="839">
        <f t="shared" si="178"/>
        <v>0</v>
      </c>
      <c r="CA117" s="839" t="e">
        <f t="shared" si="179"/>
        <v>#DIV/0!</v>
      </c>
      <c r="CB117" s="839">
        <f t="shared" si="180"/>
        <v>0</v>
      </c>
      <c r="CC117" s="839">
        <f>+(BE117+AU117+BO117+BY117)/AO115</f>
        <v>0</v>
      </c>
      <c r="CD117" s="1079" t="s">
        <v>2050</v>
      </c>
      <c r="CE117" s="633" t="str">
        <f t="shared" si="157"/>
        <v>No Prog ni Ejec</v>
      </c>
      <c r="CF117" s="633" t="str">
        <f t="shared" si="158"/>
        <v>No Prog ni Ejec</v>
      </c>
      <c r="CG117" s="633">
        <f t="shared" si="159"/>
        <v>0</v>
      </c>
      <c r="CH117" s="633" t="str">
        <f t="shared" si="160"/>
        <v>No Prog ni Ejec</v>
      </c>
      <c r="CI117" s="633" t="str">
        <f t="shared" si="161"/>
        <v>No Prog ni Ejec</v>
      </c>
      <c r="CJ117" s="633" t="str">
        <f t="shared" si="162"/>
        <v>No Prog ni Ejec</v>
      </c>
      <c r="CK117" s="633">
        <f t="shared" si="163"/>
        <v>0</v>
      </c>
      <c r="CL117" s="741" t="str">
        <f t="shared" si="164"/>
        <v>No Prog ni Ejec</v>
      </c>
      <c r="CM117" s="569">
        <f t="shared" si="134"/>
        <v>0</v>
      </c>
      <c r="CR117" s="69"/>
      <c r="CS117" s="69"/>
      <c r="CT117" s="69"/>
      <c r="CU117" s="69"/>
      <c r="CV117" s="69"/>
      <c r="CW117" s="69"/>
      <c r="CX117" s="69">
        <v>7</v>
      </c>
      <c r="CY117" s="69"/>
      <c r="CZ117" s="69"/>
      <c r="DA117" s="69"/>
      <c r="DB117" s="69">
        <v>11</v>
      </c>
      <c r="DC117" s="69"/>
    </row>
    <row r="118" spans="1:107" s="69" customFormat="1" ht="104.25" customHeight="1" x14ac:dyDescent="0.2">
      <c r="A118" s="684">
        <v>11700</v>
      </c>
      <c r="B118" s="627" t="s">
        <v>14</v>
      </c>
      <c r="C118" s="645" t="s">
        <v>842</v>
      </c>
      <c r="D118" s="164"/>
      <c r="E118" s="164"/>
      <c r="F118" s="164"/>
      <c r="G118" s="164"/>
      <c r="H118" s="164"/>
      <c r="I118" s="164"/>
      <c r="J118" s="164" t="s">
        <v>1017</v>
      </c>
      <c r="K118" s="164"/>
      <c r="L118" s="164" t="s">
        <v>1017</v>
      </c>
      <c r="M118" s="164"/>
      <c r="N118" s="164"/>
      <c r="O118" s="164"/>
      <c r="P118" s="164"/>
      <c r="Q118" s="627" t="s">
        <v>204</v>
      </c>
      <c r="R118" s="627" t="s">
        <v>204</v>
      </c>
      <c r="S118" s="629" t="s">
        <v>238</v>
      </c>
      <c r="T118" s="627" t="s">
        <v>94</v>
      </c>
      <c r="U118" s="627" t="s">
        <v>204</v>
      </c>
      <c r="V118" s="627" t="s">
        <v>204</v>
      </c>
      <c r="W118" s="629" t="s">
        <v>834</v>
      </c>
      <c r="X118" s="645" t="s">
        <v>846</v>
      </c>
      <c r="Y118" s="154" t="s">
        <v>390</v>
      </c>
      <c r="Z118" s="814">
        <v>1</v>
      </c>
      <c r="AA118" s="814" t="s">
        <v>826</v>
      </c>
      <c r="AB118" s="806" t="s">
        <v>849</v>
      </c>
      <c r="AC118" s="157">
        <v>0</v>
      </c>
      <c r="AD118" s="811">
        <v>1</v>
      </c>
      <c r="AE118" s="806" t="s">
        <v>16</v>
      </c>
      <c r="AF118" s="806" t="s">
        <v>21</v>
      </c>
      <c r="AG118" s="806" t="s">
        <v>204</v>
      </c>
      <c r="AH118" s="806" t="s">
        <v>633</v>
      </c>
      <c r="AI118" s="806" t="s">
        <v>77</v>
      </c>
      <c r="AJ118" s="806" t="s">
        <v>1277</v>
      </c>
      <c r="AK118" s="806" t="s">
        <v>852</v>
      </c>
      <c r="AL118" s="806" t="s">
        <v>43</v>
      </c>
      <c r="AM118" s="814">
        <v>1</v>
      </c>
      <c r="AN118" s="806" t="str">
        <f t="shared" ref="AN118:AN123" si="182">+AB118</f>
        <v>Actualizar el Manual de funciones de la ADRES</v>
      </c>
      <c r="AO118" s="812">
        <f t="shared" ref="AO118:AO123" si="183">+AC118</f>
        <v>0</v>
      </c>
      <c r="AP118" s="836" t="s">
        <v>48</v>
      </c>
      <c r="AQ118" s="67">
        <v>0</v>
      </c>
      <c r="AR118" s="806" t="str">
        <f t="shared" ref="AR118:AR123" si="184">+AN118</f>
        <v>Actualizar el Manual de funciones de la ADRES</v>
      </c>
      <c r="AS118" s="810">
        <v>0</v>
      </c>
      <c r="AT118" s="466">
        <v>0</v>
      </c>
      <c r="AU118" s="840">
        <v>0</v>
      </c>
      <c r="AV118" s="807" t="e">
        <f t="shared" ref="AV118:AV123" si="185">+(AT118/AQ118)</f>
        <v>#DIV/0!</v>
      </c>
      <c r="AW118" s="807" t="e">
        <f t="shared" ref="AW118:AW123" si="186">+(AU118/AS118)</f>
        <v>#DIV/0!</v>
      </c>
      <c r="AX118" s="807">
        <f t="shared" ref="AX118:AX123" si="187">+(AT118/AM118)</f>
        <v>0</v>
      </c>
      <c r="AY118" s="807" t="e">
        <f t="shared" ref="AY118:AY123" si="188">+(AU118/AO118)</f>
        <v>#DIV/0!</v>
      </c>
      <c r="AZ118" s="492" t="s">
        <v>1331</v>
      </c>
      <c r="BA118" s="67">
        <v>0</v>
      </c>
      <c r="BB118" s="806" t="str">
        <f t="shared" ref="BB118:BB123" si="189">+AN118</f>
        <v>Actualizar el Manual de funciones de la ADRES</v>
      </c>
      <c r="BC118" s="810">
        <v>0</v>
      </c>
      <c r="BD118" s="817">
        <v>0</v>
      </c>
      <c r="BE118" s="810">
        <v>0</v>
      </c>
      <c r="BF118" s="807" t="e">
        <f t="shared" ref="BF118:BF123" si="190">+(BD118/BA118)</f>
        <v>#DIV/0!</v>
      </c>
      <c r="BG118" s="807" t="e">
        <f t="shared" ref="BG118:BG123" si="191">+(BE118/BC118)</f>
        <v>#DIV/0!</v>
      </c>
      <c r="BH118" s="807">
        <f t="shared" ref="BH118:BH123" si="192">+(BD118+AT118)/AM118</f>
        <v>0</v>
      </c>
      <c r="BI118" s="807" t="e">
        <f t="shared" ref="BI118:BI123" si="193">+(BE118+AU118)/AO118</f>
        <v>#DIV/0!</v>
      </c>
      <c r="BJ118" s="809" t="s">
        <v>1375</v>
      </c>
      <c r="BK118" s="814">
        <v>1</v>
      </c>
      <c r="BL118" s="806" t="str">
        <f t="shared" ref="BL118:BL123" si="194">+AN118</f>
        <v>Actualizar el Manual de funciones de la ADRES</v>
      </c>
      <c r="BM118" s="810">
        <v>0</v>
      </c>
      <c r="BN118" s="949">
        <v>1</v>
      </c>
      <c r="BO118" s="946">
        <v>0</v>
      </c>
      <c r="BP118" s="807">
        <f t="shared" ref="BP118:BP123" si="195">+(BN118/BK118)</f>
        <v>1</v>
      </c>
      <c r="BQ118" s="807" t="e">
        <f t="shared" ref="BQ118:BQ123" si="196">+(BO118/BM118)</f>
        <v>#DIV/0!</v>
      </c>
      <c r="BR118" s="807">
        <f t="shared" ref="BR118:BR123" si="197">+(BD118+AT118+BN118)/AM118</f>
        <v>1</v>
      </c>
      <c r="BS118" s="807" t="e">
        <f t="shared" ref="BS118:BS123" si="198">+(BE118+AU118+BO118)/AO118</f>
        <v>#DIV/0!</v>
      </c>
      <c r="BT118" s="948" t="s">
        <v>1906</v>
      </c>
      <c r="BU118" s="67">
        <v>0</v>
      </c>
      <c r="BV118" s="806" t="str">
        <f t="shared" ref="BV118:BV123" si="199">+AN118</f>
        <v>Actualizar el Manual de funciones de la ADRES</v>
      </c>
      <c r="BW118" s="810">
        <v>0</v>
      </c>
      <c r="BX118" s="1132">
        <v>0</v>
      </c>
      <c r="BY118" s="1130">
        <v>0</v>
      </c>
      <c r="BZ118" s="805" t="e">
        <f t="shared" ref="BZ118:BZ123" si="200">+(BX118/BU118)</f>
        <v>#DIV/0!</v>
      </c>
      <c r="CA118" s="805" t="e">
        <f t="shared" ref="CA118:CA123" si="201">+(BY118/BW118)</f>
        <v>#DIV/0!</v>
      </c>
      <c r="CB118" s="805">
        <f t="shared" ref="CB118:CB123" si="202">+(BD118+AT118+BN118+BX118)/AM118</f>
        <v>1</v>
      </c>
      <c r="CC118" s="805" t="e">
        <f t="shared" ref="CC118:CC123" si="203">+(BE118+AU118+BO118+BY118)/AO118</f>
        <v>#DIV/0!</v>
      </c>
      <c r="CD118" s="682" t="s">
        <v>2080</v>
      </c>
      <c r="CE118" s="631" t="str">
        <f t="shared" ref="CE118:CE123" si="204">IF(AND(AQ118=0,AT118=0),"No Prog ni Ejec",IF(AQ118=0,CONCATENATE("No Prog, Ejec=  ",AT118),AT118/AQ118))</f>
        <v>No Prog ni Ejec</v>
      </c>
      <c r="CF118" s="631" t="str">
        <f t="shared" ref="CF118:CF123" si="205">IF(AND(AS118=0,AU118=0),"No Prog ni Ejec",IF(AS118=0,CONCATENATE("No Prog, Ejec=  ",AU118),AU118/AS118))</f>
        <v>No Prog ni Ejec</v>
      </c>
      <c r="CG118" s="631" t="str">
        <f t="shared" ref="CG118:CG123" si="206">IF(AND(BA118=0,BD118=0),"No Prog ni Ejec",IF(BA118=0,CONCATENATE("No Prog, Ejec=  ",BD118),BD118/BA118))</f>
        <v>No Prog ni Ejec</v>
      </c>
      <c r="CH118" s="631" t="str">
        <f t="shared" ref="CH118:CH123" si="207">IF(AND(BC118=0,BE118=0),"No Prog ni Ejec",IF(BC118=0,CONCATENATE("No Prog, Ejec=  ",BE118),BE118/BC118))</f>
        <v>No Prog ni Ejec</v>
      </c>
      <c r="CI118" s="631">
        <f t="shared" ref="CI118:CI123" si="208">IF(AND(BK118=0,BN118=0),"No Prog ni Ejec",IF(BK118=0,CONCATENATE("No Prog, Ejec=  ",BN118),BN118/BK118))</f>
        <v>1</v>
      </c>
      <c r="CJ118" s="631" t="str">
        <f t="shared" ref="CJ118:CJ123" si="209">IF(AND(BM118=0,BO118=0),"No Prog ni Ejec",IF(BM118=0,CONCATENATE("No Prog, Ejec=  ",BO118),BO118/BM118))</f>
        <v>No Prog ni Ejec</v>
      </c>
      <c r="CK118" s="631" t="str">
        <f t="shared" ref="CK118:CK123" si="210">IF(AND(BU118=0,BX118=0),"No Prog ni Ejec",IF(BU118=0,CONCATENATE("No Prog, Ejec=  ",BX118),BX118/BU118))</f>
        <v>No Prog ni Ejec</v>
      </c>
      <c r="CL118" s="685" t="str">
        <f t="shared" ref="CL118:CL123" si="211">IF(AND(BW118=0,BY118=0),"No Prog ni Ejec",IF(BW118=0,CONCATENATE("No Prog, Ejec=  ",BY118),BY118/BW118))</f>
        <v>No Prog ni Ejec</v>
      </c>
      <c r="CM118" s="127">
        <f t="shared" si="134"/>
        <v>0</v>
      </c>
      <c r="CV118" s="121">
        <v>5</v>
      </c>
      <c r="DB118" s="69">
        <v>11</v>
      </c>
    </row>
    <row r="119" spans="1:107" s="69" customFormat="1" ht="99.75" customHeight="1" x14ac:dyDescent="0.2">
      <c r="A119" s="684">
        <v>11700</v>
      </c>
      <c r="B119" s="627" t="s">
        <v>14</v>
      </c>
      <c r="C119" s="645" t="s">
        <v>842</v>
      </c>
      <c r="D119" s="164"/>
      <c r="E119" s="164"/>
      <c r="F119" s="164"/>
      <c r="G119" s="164"/>
      <c r="H119" s="164"/>
      <c r="I119" s="164"/>
      <c r="J119" s="164" t="s">
        <v>1017</v>
      </c>
      <c r="K119" s="164"/>
      <c r="L119" s="164" t="s">
        <v>1017</v>
      </c>
      <c r="M119" s="164"/>
      <c r="N119" s="164"/>
      <c r="O119" s="164"/>
      <c r="P119" s="164"/>
      <c r="Q119" s="627" t="s">
        <v>204</v>
      </c>
      <c r="R119" s="627" t="s">
        <v>204</v>
      </c>
      <c r="S119" s="629" t="s">
        <v>238</v>
      </c>
      <c r="T119" s="627" t="s">
        <v>94</v>
      </c>
      <c r="U119" s="627" t="s">
        <v>204</v>
      </c>
      <c r="V119" s="627" t="s">
        <v>204</v>
      </c>
      <c r="W119" s="629" t="s">
        <v>835</v>
      </c>
      <c r="X119" s="645" t="s">
        <v>847</v>
      </c>
      <c r="Y119" s="154" t="s">
        <v>390</v>
      </c>
      <c r="Z119" s="814">
        <v>1</v>
      </c>
      <c r="AA119" s="814" t="s">
        <v>827</v>
      </c>
      <c r="AB119" s="806" t="s">
        <v>850</v>
      </c>
      <c r="AC119" s="157">
        <v>0</v>
      </c>
      <c r="AD119" s="811">
        <v>1</v>
      </c>
      <c r="AE119" s="806" t="s">
        <v>16</v>
      </c>
      <c r="AF119" s="806" t="s">
        <v>21</v>
      </c>
      <c r="AG119" s="806" t="s">
        <v>204</v>
      </c>
      <c r="AH119" s="806" t="s">
        <v>633</v>
      </c>
      <c r="AI119" s="806" t="s">
        <v>77</v>
      </c>
      <c r="AJ119" s="806" t="s">
        <v>204</v>
      </c>
      <c r="AK119" s="806" t="s">
        <v>853</v>
      </c>
      <c r="AL119" s="806" t="s">
        <v>43</v>
      </c>
      <c r="AM119" s="814">
        <v>1</v>
      </c>
      <c r="AN119" s="806" t="str">
        <f t="shared" si="182"/>
        <v xml:space="preserve">Solicitar a la CNSC, la apertura de la OPEC </v>
      </c>
      <c r="AO119" s="812">
        <f t="shared" si="183"/>
        <v>0</v>
      </c>
      <c r="AP119" s="836" t="s">
        <v>48</v>
      </c>
      <c r="AQ119" s="67">
        <v>0</v>
      </c>
      <c r="AR119" s="806" t="str">
        <f t="shared" si="184"/>
        <v xml:space="preserve">Solicitar a la CNSC, la apertura de la OPEC </v>
      </c>
      <c r="AS119" s="810">
        <v>0</v>
      </c>
      <c r="AT119" s="466">
        <v>0</v>
      </c>
      <c r="AU119" s="840">
        <v>0</v>
      </c>
      <c r="AV119" s="807" t="e">
        <f t="shared" si="185"/>
        <v>#DIV/0!</v>
      </c>
      <c r="AW119" s="807" t="e">
        <f t="shared" si="186"/>
        <v>#DIV/0!</v>
      </c>
      <c r="AX119" s="807">
        <f t="shared" si="187"/>
        <v>0</v>
      </c>
      <c r="AY119" s="807" t="e">
        <f t="shared" si="188"/>
        <v>#DIV/0!</v>
      </c>
      <c r="AZ119" s="492" t="s">
        <v>1331</v>
      </c>
      <c r="BA119" s="67">
        <v>0</v>
      </c>
      <c r="BB119" s="806" t="str">
        <f t="shared" si="189"/>
        <v xml:space="preserve">Solicitar a la CNSC, la apertura de la OPEC </v>
      </c>
      <c r="BC119" s="810">
        <v>0</v>
      </c>
      <c r="BD119" s="817">
        <v>0</v>
      </c>
      <c r="BE119" s="810">
        <v>0</v>
      </c>
      <c r="BF119" s="807" t="e">
        <f t="shared" si="190"/>
        <v>#DIV/0!</v>
      </c>
      <c r="BG119" s="807" t="e">
        <f t="shared" si="191"/>
        <v>#DIV/0!</v>
      </c>
      <c r="BH119" s="807">
        <f t="shared" si="192"/>
        <v>0</v>
      </c>
      <c r="BI119" s="807" t="e">
        <f t="shared" si="193"/>
        <v>#DIV/0!</v>
      </c>
      <c r="BJ119" s="809" t="s">
        <v>1375</v>
      </c>
      <c r="BK119" s="814">
        <v>1</v>
      </c>
      <c r="BL119" s="806" t="str">
        <f t="shared" si="194"/>
        <v xml:space="preserve">Solicitar a la CNSC, la apertura de la OPEC </v>
      </c>
      <c r="BM119" s="810">
        <v>0</v>
      </c>
      <c r="BN119" s="949">
        <v>0</v>
      </c>
      <c r="BO119" s="946">
        <v>0</v>
      </c>
      <c r="BP119" s="807">
        <f t="shared" si="195"/>
        <v>0</v>
      </c>
      <c r="BQ119" s="807" t="e">
        <f t="shared" si="196"/>
        <v>#DIV/0!</v>
      </c>
      <c r="BR119" s="807">
        <f t="shared" si="197"/>
        <v>0</v>
      </c>
      <c r="BS119" s="807" t="e">
        <f t="shared" si="198"/>
        <v>#DIV/0!</v>
      </c>
      <c r="BT119" s="948" t="s">
        <v>1907</v>
      </c>
      <c r="BU119" s="67">
        <v>0</v>
      </c>
      <c r="BV119" s="806" t="str">
        <f t="shared" si="199"/>
        <v xml:space="preserve">Solicitar a la CNSC, la apertura de la OPEC </v>
      </c>
      <c r="BW119" s="810">
        <v>0</v>
      </c>
      <c r="BX119" s="1132">
        <v>0</v>
      </c>
      <c r="BY119" s="1130">
        <v>0</v>
      </c>
      <c r="BZ119" s="805" t="e">
        <f t="shared" si="200"/>
        <v>#DIV/0!</v>
      </c>
      <c r="CA119" s="805" t="e">
        <f t="shared" si="201"/>
        <v>#DIV/0!</v>
      </c>
      <c r="CB119" s="805">
        <f t="shared" si="202"/>
        <v>0</v>
      </c>
      <c r="CC119" s="805" t="e">
        <f t="shared" si="203"/>
        <v>#DIV/0!</v>
      </c>
      <c r="CD119" s="156" t="s">
        <v>2100</v>
      </c>
      <c r="CE119" s="631" t="str">
        <f t="shared" si="204"/>
        <v>No Prog ni Ejec</v>
      </c>
      <c r="CF119" s="631" t="str">
        <f t="shared" si="205"/>
        <v>No Prog ni Ejec</v>
      </c>
      <c r="CG119" s="631" t="str">
        <f t="shared" si="206"/>
        <v>No Prog ni Ejec</v>
      </c>
      <c r="CH119" s="631" t="str">
        <f t="shared" si="207"/>
        <v>No Prog ni Ejec</v>
      </c>
      <c r="CI119" s="631">
        <f t="shared" si="208"/>
        <v>0</v>
      </c>
      <c r="CJ119" s="631" t="str">
        <f t="shared" si="209"/>
        <v>No Prog ni Ejec</v>
      </c>
      <c r="CK119" s="631" t="str">
        <f t="shared" si="210"/>
        <v>No Prog ni Ejec</v>
      </c>
      <c r="CL119" s="685" t="str">
        <f t="shared" si="211"/>
        <v>No Prog ni Ejec</v>
      </c>
      <c r="CM119" s="127">
        <f t="shared" si="134"/>
        <v>0</v>
      </c>
      <c r="CV119" s="121">
        <v>5</v>
      </c>
      <c r="DB119" s="69">
        <v>11</v>
      </c>
    </row>
    <row r="120" spans="1:107" s="69" customFormat="1" ht="104.25" customHeight="1" x14ac:dyDescent="0.2">
      <c r="A120" s="684">
        <v>11700</v>
      </c>
      <c r="B120" s="627" t="s">
        <v>14</v>
      </c>
      <c r="C120" s="645" t="s">
        <v>842</v>
      </c>
      <c r="D120" s="164"/>
      <c r="E120" s="164"/>
      <c r="F120" s="164"/>
      <c r="G120" s="164"/>
      <c r="H120" s="164"/>
      <c r="I120" s="164"/>
      <c r="J120" s="164" t="s">
        <v>1017</v>
      </c>
      <c r="K120" s="164"/>
      <c r="L120" s="164" t="s">
        <v>1017</v>
      </c>
      <c r="M120" s="164"/>
      <c r="N120" s="164"/>
      <c r="O120" s="164"/>
      <c r="P120" s="164"/>
      <c r="Q120" s="627" t="s">
        <v>204</v>
      </c>
      <c r="R120" s="627" t="s">
        <v>204</v>
      </c>
      <c r="S120" s="629" t="s">
        <v>238</v>
      </c>
      <c r="T120" s="627" t="s">
        <v>94</v>
      </c>
      <c r="U120" s="627" t="s">
        <v>204</v>
      </c>
      <c r="V120" s="627" t="s">
        <v>204</v>
      </c>
      <c r="W120" s="629" t="s">
        <v>836</v>
      </c>
      <c r="X120" s="645" t="s">
        <v>848</v>
      </c>
      <c r="Y120" s="154" t="s">
        <v>390</v>
      </c>
      <c r="Z120" s="814">
        <v>1</v>
      </c>
      <c r="AA120" s="814" t="s">
        <v>828</v>
      </c>
      <c r="AB120" s="806" t="s">
        <v>851</v>
      </c>
      <c r="AC120" s="157">
        <v>0</v>
      </c>
      <c r="AD120" s="811">
        <v>1</v>
      </c>
      <c r="AE120" s="806" t="s">
        <v>16</v>
      </c>
      <c r="AF120" s="806" t="s">
        <v>21</v>
      </c>
      <c r="AG120" s="806" t="s">
        <v>204</v>
      </c>
      <c r="AH120" s="806" t="s">
        <v>633</v>
      </c>
      <c r="AI120" s="806" t="s">
        <v>77</v>
      </c>
      <c r="AJ120" s="806" t="s">
        <v>204</v>
      </c>
      <c r="AK120" s="806" t="s">
        <v>854</v>
      </c>
      <c r="AL120" s="806" t="s">
        <v>43</v>
      </c>
      <c r="AM120" s="814">
        <v>1</v>
      </c>
      <c r="AN120" s="806" t="str">
        <f t="shared" si="182"/>
        <v>Actualizar la OPEC en el aplicativo SIMO</v>
      </c>
      <c r="AO120" s="812">
        <f t="shared" si="183"/>
        <v>0</v>
      </c>
      <c r="AP120" s="836" t="s">
        <v>48</v>
      </c>
      <c r="AQ120" s="67">
        <v>0</v>
      </c>
      <c r="AR120" s="806" t="str">
        <f t="shared" si="184"/>
        <v>Actualizar la OPEC en el aplicativo SIMO</v>
      </c>
      <c r="AS120" s="810">
        <v>0</v>
      </c>
      <c r="AT120" s="466">
        <v>0</v>
      </c>
      <c r="AU120" s="840">
        <v>0</v>
      </c>
      <c r="AV120" s="807" t="e">
        <f t="shared" si="185"/>
        <v>#DIV/0!</v>
      </c>
      <c r="AW120" s="807" t="e">
        <f t="shared" si="186"/>
        <v>#DIV/0!</v>
      </c>
      <c r="AX120" s="807">
        <f t="shared" si="187"/>
        <v>0</v>
      </c>
      <c r="AY120" s="807" t="e">
        <f t="shared" si="188"/>
        <v>#DIV/0!</v>
      </c>
      <c r="AZ120" s="492" t="s">
        <v>1331</v>
      </c>
      <c r="BA120" s="67">
        <v>0</v>
      </c>
      <c r="BB120" s="806" t="str">
        <f t="shared" si="189"/>
        <v>Actualizar la OPEC en el aplicativo SIMO</v>
      </c>
      <c r="BC120" s="810">
        <v>0</v>
      </c>
      <c r="BD120" s="817">
        <v>0</v>
      </c>
      <c r="BE120" s="810">
        <v>0</v>
      </c>
      <c r="BF120" s="807" t="e">
        <f t="shared" si="190"/>
        <v>#DIV/0!</v>
      </c>
      <c r="BG120" s="807" t="e">
        <f t="shared" si="191"/>
        <v>#DIV/0!</v>
      </c>
      <c r="BH120" s="807">
        <f t="shared" si="192"/>
        <v>0</v>
      </c>
      <c r="BI120" s="807" t="e">
        <f t="shared" si="193"/>
        <v>#DIV/0!</v>
      </c>
      <c r="BJ120" s="809" t="s">
        <v>1375</v>
      </c>
      <c r="BK120" s="814">
        <v>1</v>
      </c>
      <c r="BL120" s="806" t="str">
        <f t="shared" si="194"/>
        <v>Actualizar la OPEC en el aplicativo SIMO</v>
      </c>
      <c r="BM120" s="810">
        <v>0</v>
      </c>
      <c r="BN120" s="949">
        <v>0</v>
      </c>
      <c r="BO120" s="946">
        <v>0</v>
      </c>
      <c r="BP120" s="807">
        <f t="shared" si="195"/>
        <v>0</v>
      </c>
      <c r="BQ120" s="807" t="e">
        <f t="shared" si="196"/>
        <v>#DIV/0!</v>
      </c>
      <c r="BR120" s="807">
        <f t="shared" si="197"/>
        <v>0</v>
      </c>
      <c r="BS120" s="807" t="e">
        <f t="shared" si="198"/>
        <v>#DIV/0!</v>
      </c>
      <c r="BT120" s="948" t="s">
        <v>1907</v>
      </c>
      <c r="BU120" s="67">
        <v>0</v>
      </c>
      <c r="BV120" s="806" t="str">
        <f t="shared" si="199"/>
        <v>Actualizar la OPEC en el aplicativo SIMO</v>
      </c>
      <c r="BW120" s="810">
        <v>0</v>
      </c>
      <c r="BX120" s="1132">
        <v>0</v>
      </c>
      <c r="BY120" s="1130">
        <v>0</v>
      </c>
      <c r="BZ120" s="805" t="e">
        <f t="shared" si="200"/>
        <v>#DIV/0!</v>
      </c>
      <c r="CA120" s="805" t="e">
        <f t="shared" si="201"/>
        <v>#DIV/0!</v>
      </c>
      <c r="CB120" s="805">
        <f t="shared" si="202"/>
        <v>0</v>
      </c>
      <c r="CC120" s="805" t="e">
        <f t="shared" si="203"/>
        <v>#DIV/0!</v>
      </c>
      <c r="CD120" s="156" t="s">
        <v>2100</v>
      </c>
      <c r="CE120" s="631" t="str">
        <f t="shared" si="204"/>
        <v>No Prog ni Ejec</v>
      </c>
      <c r="CF120" s="631" t="str">
        <f t="shared" si="205"/>
        <v>No Prog ni Ejec</v>
      </c>
      <c r="CG120" s="631" t="str">
        <f t="shared" si="206"/>
        <v>No Prog ni Ejec</v>
      </c>
      <c r="CH120" s="631" t="str">
        <f t="shared" si="207"/>
        <v>No Prog ni Ejec</v>
      </c>
      <c r="CI120" s="631">
        <f t="shared" si="208"/>
        <v>0</v>
      </c>
      <c r="CJ120" s="631" t="str">
        <f t="shared" si="209"/>
        <v>No Prog ni Ejec</v>
      </c>
      <c r="CK120" s="631" t="str">
        <f t="shared" si="210"/>
        <v>No Prog ni Ejec</v>
      </c>
      <c r="CL120" s="685" t="str">
        <f t="shared" si="211"/>
        <v>No Prog ni Ejec</v>
      </c>
      <c r="CM120" s="127">
        <f t="shared" si="134"/>
        <v>0</v>
      </c>
      <c r="CV120" s="121">
        <v>5</v>
      </c>
      <c r="DB120" s="69">
        <v>11</v>
      </c>
    </row>
    <row r="121" spans="1:107" s="69" customFormat="1" ht="106.5" customHeight="1" x14ac:dyDescent="0.2">
      <c r="A121" s="684">
        <v>11700</v>
      </c>
      <c r="B121" s="627" t="s">
        <v>14</v>
      </c>
      <c r="C121" s="627" t="s">
        <v>330</v>
      </c>
      <c r="D121" s="123"/>
      <c r="E121" s="123" t="s">
        <v>1017</v>
      </c>
      <c r="F121" s="123" t="s">
        <v>1017</v>
      </c>
      <c r="G121" s="123"/>
      <c r="H121" s="123"/>
      <c r="I121" s="123"/>
      <c r="J121" s="123"/>
      <c r="K121" s="123"/>
      <c r="L121" s="123"/>
      <c r="M121" s="123"/>
      <c r="N121" s="123"/>
      <c r="O121" s="123"/>
      <c r="P121" s="123"/>
      <c r="Q121" s="627" t="s">
        <v>204</v>
      </c>
      <c r="R121" s="627" t="s">
        <v>204</v>
      </c>
      <c r="S121" s="629" t="s">
        <v>238</v>
      </c>
      <c r="T121" s="627" t="s">
        <v>94</v>
      </c>
      <c r="U121" s="627" t="s">
        <v>204</v>
      </c>
      <c r="V121" s="627" t="s">
        <v>204</v>
      </c>
      <c r="W121" s="629" t="s">
        <v>837</v>
      </c>
      <c r="X121" s="816" t="s">
        <v>1752</v>
      </c>
      <c r="Y121" s="641" t="s">
        <v>390</v>
      </c>
      <c r="Z121" s="584">
        <v>2</v>
      </c>
      <c r="AA121" s="629" t="s">
        <v>829</v>
      </c>
      <c r="AB121" s="816" t="s">
        <v>1751</v>
      </c>
      <c r="AC121" s="561">
        <v>0</v>
      </c>
      <c r="AD121" s="637">
        <v>1</v>
      </c>
      <c r="AE121" s="627" t="s">
        <v>17</v>
      </c>
      <c r="AF121" s="627" t="s">
        <v>23</v>
      </c>
      <c r="AG121" s="627" t="s">
        <v>204</v>
      </c>
      <c r="AH121" s="627" t="s">
        <v>633</v>
      </c>
      <c r="AI121" s="627" t="s">
        <v>78</v>
      </c>
      <c r="AJ121" s="627" t="s">
        <v>1266</v>
      </c>
      <c r="AK121" s="816" t="s">
        <v>1753</v>
      </c>
      <c r="AL121" s="627" t="s">
        <v>42</v>
      </c>
      <c r="AM121" s="584">
        <v>2</v>
      </c>
      <c r="AN121" s="627" t="str">
        <f t="shared" si="182"/>
        <v xml:space="preserve">Desarrollar la herramienta tecnológica en el Sistema de Gestión de PQRSD- CRM las funcionalidades que permitan medir tiempos de atención y satisfacción en el servicio brindado por el canal presencial. </v>
      </c>
      <c r="AO121" s="636">
        <f t="shared" si="183"/>
        <v>0</v>
      </c>
      <c r="AP121" s="634" t="s">
        <v>46</v>
      </c>
      <c r="AQ121" s="67">
        <v>0</v>
      </c>
      <c r="AR121" s="627" t="str">
        <f t="shared" si="184"/>
        <v xml:space="preserve">Desarrollar la herramienta tecnológica en el Sistema de Gestión de PQRSD- CRM las funcionalidades que permitan medir tiempos de atención y satisfacción en el servicio brindado por el canal presencial. </v>
      </c>
      <c r="AS121" s="625">
        <v>0</v>
      </c>
      <c r="AT121" s="466">
        <v>0</v>
      </c>
      <c r="AU121" s="639">
        <v>0</v>
      </c>
      <c r="AV121" s="624" t="e">
        <f t="shared" si="185"/>
        <v>#DIV/0!</v>
      </c>
      <c r="AW121" s="624" t="e">
        <f t="shared" si="186"/>
        <v>#DIV/0!</v>
      </c>
      <c r="AX121" s="624">
        <f t="shared" si="187"/>
        <v>0</v>
      </c>
      <c r="AY121" s="624" t="e">
        <f t="shared" si="188"/>
        <v>#DIV/0!</v>
      </c>
      <c r="AZ121" s="490" t="s">
        <v>1331</v>
      </c>
      <c r="BA121" s="67">
        <v>0</v>
      </c>
      <c r="BB121" s="806" t="str">
        <f t="shared" si="189"/>
        <v xml:space="preserve">Desarrollar la herramienta tecnológica en el Sistema de Gestión de PQRSD- CRM las funcionalidades que permitan medir tiempos de atención y satisfacción en el servicio brindado por el canal presencial. </v>
      </c>
      <c r="BC121" s="810">
        <v>0</v>
      </c>
      <c r="BD121" s="123">
        <v>0</v>
      </c>
      <c r="BE121" s="785">
        <v>0</v>
      </c>
      <c r="BF121" s="624" t="e">
        <f t="shared" si="190"/>
        <v>#DIV/0!</v>
      </c>
      <c r="BG121" s="624" t="e">
        <f t="shared" si="191"/>
        <v>#DIV/0!</v>
      </c>
      <c r="BH121" s="624">
        <f t="shared" si="192"/>
        <v>0</v>
      </c>
      <c r="BI121" s="624" t="e">
        <f t="shared" si="193"/>
        <v>#DIV/0!</v>
      </c>
      <c r="BJ121" s="485" t="s">
        <v>1331</v>
      </c>
      <c r="BK121" s="67">
        <v>0</v>
      </c>
      <c r="BL121" s="806" t="str">
        <f t="shared" si="194"/>
        <v xml:space="preserve">Desarrollar la herramienta tecnológica en el Sistema de Gestión de PQRSD- CRM las funcionalidades que permitan medir tiempos de atención y satisfacción en el servicio brindado por el canal presencial. </v>
      </c>
      <c r="BM121" s="557">
        <v>0</v>
      </c>
      <c r="BN121" s="949">
        <v>0</v>
      </c>
      <c r="BO121" s="946">
        <v>0</v>
      </c>
      <c r="BP121" s="807" t="e">
        <f t="shared" si="195"/>
        <v>#DIV/0!</v>
      </c>
      <c r="BQ121" s="807" t="e">
        <f t="shared" si="196"/>
        <v>#DIV/0!</v>
      </c>
      <c r="BR121" s="807">
        <f t="shared" si="197"/>
        <v>0</v>
      </c>
      <c r="BS121" s="807" t="e">
        <f t="shared" si="198"/>
        <v>#DIV/0!</v>
      </c>
      <c r="BT121" s="968" t="s">
        <v>1331</v>
      </c>
      <c r="BU121" s="67">
        <v>2</v>
      </c>
      <c r="BV121" s="627" t="str">
        <f t="shared" si="199"/>
        <v xml:space="preserve">Desarrollar la herramienta tecnológica en el Sistema de Gestión de PQRSD- CRM las funcionalidades que permitan medir tiempos de atención y satisfacción en el servicio brindado por el canal presencial. </v>
      </c>
      <c r="BW121" s="625">
        <v>0</v>
      </c>
      <c r="BX121" s="1142">
        <v>2</v>
      </c>
      <c r="BY121" s="1130">
        <v>0</v>
      </c>
      <c r="BZ121" s="632">
        <f t="shared" si="200"/>
        <v>1</v>
      </c>
      <c r="CA121" s="632" t="e">
        <f t="shared" si="201"/>
        <v>#DIV/0!</v>
      </c>
      <c r="CB121" s="632">
        <f t="shared" si="202"/>
        <v>1</v>
      </c>
      <c r="CC121" s="632" t="e">
        <f t="shared" si="203"/>
        <v>#DIV/0!</v>
      </c>
      <c r="CD121" s="682" t="s">
        <v>2064</v>
      </c>
      <c r="CE121" s="631" t="str">
        <f t="shared" si="204"/>
        <v>No Prog ni Ejec</v>
      </c>
      <c r="CF121" s="631" t="str">
        <f t="shared" si="205"/>
        <v>No Prog ni Ejec</v>
      </c>
      <c r="CG121" s="631" t="str">
        <f t="shared" si="206"/>
        <v>No Prog ni Ejec</v>
      </c>
      <c r="CH121" s="631" t="str">
        <f t="shared" si="207"/>
        <v>No Prog ni Ejec</v>
      </c>
      <c r="CI121" s="631" t="str">
        <f t="shared" si="208"/>
        <v>No Prog ni Ejec</v>
      </c>
      <c r="CJ121" s="631" t="str">
        <f t="shared" si="209"/>
        <v>No Prog ni Ejec</v>
      </c>
      <c r="CK121" s="631">
        <f t="shared" si="210"/>
        <v>1</v>
      </c>
      <c r="CL121" s="685" t="str">
        <f t="shared" si="211"/>
        <v>No Prog ni Ejec</v>
      </c>
      <c r="CM121" s="127">
        <f t="shared" si="134"/>
        <v>0</v>
      </c>
      <c r="CW121" s="121">
        <v>6</v>
      </c>
    </row>
    <row r="122" spans="1:107" s="69" customFormat="1" ht="140.25" x14ac:dyDescent="0.2">
      <c r="A122" s="684">
        <v>11700</v>
      </c>
      <c r="B122" s="627" t="s">
        <v>14</v>
      </c>
      <c r="C122" s="627" t="s">
        <v>330</v>
      </c>
      <c r="D122" s="123"/>
      <c r="E122" s="123" t="s">
        <v>1017</v>
      </c>
      <c r="F122" s="123" t="s">
        <v>1017</v>
      </c>
      <c r="G122" s="123"/>
      <c r="H122" s="123"/>
      <c r="I122" s="123"/>
      <c r="J122" s="123"/>
      <c r="K122" s="123"/>
      <c r="L122" s="123"/>
      <c r="M122" s="123"/>
      <c r="N122" s="123"/>
      <c r="O122" s="123"/>
      <c r="P122" s="123"/>
      <c r="Q122" s="627" t="s">
        <v>204</v>
      </c>
      <c r="R122" s="627" t="s">
        <v>204</v>
      </c>
      <c r="S122" s="629" t="s">
        <v>238</v>
      </c>
      <c r="T122" s="627" t="s">
        <v>94</v>
      </c>
      <c r="U122" s="627" t="s">
        <v>204</v>
      </c>
      <c r="V122" s="627" t="s">
        <v>204</v>
      </c>
      <c r="W122" s="629" t="s">
        <v>838</v>
      </c>
      <c r="X122" s="627" t="s">
        <v>362</v>
      </c>
      <c r="Y122" s="641" t="s">
        <v>51</v>
      </c>
      <c r="Z122" s="811">
        <v>1</v>
      </c>
      <c r="AA122" s="814" t="s">
        <v>830</v>
      </c>
      <c r="AB122" s="806" t="s">
        <v>609</v>
      </c>
      <c r="AC122" s="826">
        <f>95547737+410239094.26</f>
        <v>505786831.25999999</v>
      </c>
      <c r="AD122" s="811">
        <v>1</v>
      </c>
      <c r="AE122" s="806" t="s">
        <v>17</v>
      </c>
      <c r="AF122" s="806" t="s">
        <v>23</v>
      </c>
      <c r="AG122" s="806" t="s">
        <v>204</v>
      </c>
      <c r="AH122" s="806" t="s">
        <v>633</v>
      </c>
      <c r="AI122" s="806" t="s">
        <v>78</v>
      </c>
      <c r="AJ122" s="806" t="s">
        <v>1275</v>
      </c>
      <c r="AK122" s="78" t="s">
        <v>315</v>
      </c>
      <c r="AL122" s="627" t="s">
        <v>42</v>
      </c>
      <c r="AM122" s="811">
        <v>0.8</v>
      </c>
      <c r="AN122" s="806" t="str">
        <f t="shared" si="182"/>
        <v>Brindar atención, respuesta inmediata, seguimiento a solicitudes de los ciudadanos, empresas y servidores públicos sobre los tramites y servicios de la ADRES y para la ejecución de Campañas informativas</v>
      </c>
      <c r="AO122" s="812">
        <f t="shared" si="183"/>
        <v>505786831.25999999</v>
      </c>
      <c r="AP122" s="836" t="s">
        <v>46</v>
      </c>
      <c r="AQ122" s="811">
        <v>0.2</v>
      </c>
      <c r="AR122" s="806" t="str">
        <f t="shared" si="184"/>
        <v>Brindar atención, respuesta inmediata, seguimiento a solicitudes de los ciudadanos, empresas y servidores públicos sobre los tramites y servicios de la ADRES y para la ejecución de Campañas informativas</v>
      </c>
      <c r="AS122" s="810">
        <f>+AO122/4</f>
        <v>126446707.815</v>
      </c>
      <c r="AT122" s="738">
        <v>0.19645477937672737</v>
      </c>
      <c r="AU122" s="471">
        <v>89331190</v>
      </c>
      <c r="AV122" s="807">
        <f t="shared" si="185"/>
        <v>0.98227389688363675</v>
      </c>
      <c r="AW122" s="807">
        <f t="shared" si="186"/>
        <v>0.70647303946179063</v>
      </c>
      <c r="AX122" s="807">
        <f t="shared" si="187"/>
        <v>0.24556847422090919</v>
      </c>
      <c r="AY122" s="807">
        <f t="shared" si="188"/>
        <v>0.17661825986544766</v>
      </c>
      <c r="AZ122" s="465" t="s">
        <v>1332</v>
      </c>
      <c r="BA122" s="811">
        <v>0.2</v>
      </c>
      <c r="BB122" s="806" t="str">
        <f t="shared" si="189"/>
        <v>Brindar atención, respuesta inmediata, seguimiento a solicitudes de los ciudadanos, empresas y servidores públicos sobre los tramites y servicios de la ADRES y para la ejecución de Campañas informativas</v>
      </c>
      <c r="BC122" s="810">
        <f>+AO122/4</f>
        <v>126446707.815</v>
      </c>
      <c r="BD122" s="727">
        <f>14017/14541*20%</f>
        <v>0.19279279279279282</v>
      </c>
      <c r="BE122" s="810">
        <v>133994342</v>
      </c>
      <c r="BF122" s="807">
        <f t="shared" si="190"/>
        <v>0.96396396396396411</v>
      </c>
      <c r="BG122" s="807">
        <f t="shared" si="191"/>
        <v>1.0596902388003862</v>
      </c>
      <c r="BH122" s="807">
        <f t="shared" si="192"/>
        <v>0.48655946521190024</v>
      </c>
      <c r="BI122" s="807">
        <f t="shared" si="193"/>
        <v>0.4415408195655442</v>
      </c>
      <c r="BJ122" s="808" t="s">
        <v>1734</v>
      </c>
      <c r="BK122" s="811">
        <v>0.2</v>
      </c>
      <c r="BL122" s="806" t="str">
        <f t="shared" si="194"/>
        <v>Brindar atención, respuesta inmediata, seguimiento a solicitudes de los ciudadanos, empresas y servidores públicos sobre los tramites y servicios de la ADRES y para la ejecución de Campañas informativas</v>
      </c>
      <c r="BM122" s="810">
        <f>+AO122/4</f>
        <v>126446707.815</v>
      </c>
      <c r="BN122" s="954">
        <f>+(6662+6012+6316)/(7107+6449+6775)*20%</f>
        <v>0.18680832226648961</v>
      </c>
      <c r="BO122" s="946">
        <f>44667274+44666490+44665514</f>
        <v>133999278</v>
      </c>
      <c r="BP122" s="807">
        <f t="shared" si="195"/>
        <v>0.93404161133244801</v>
      </c>
      <c r="BQ122" s="807">
        <f t="shared" si="196"/>
        <v>1.0597292750084875</v>
      </c>
      <c r="BR122" s="807">
        <f t="shared" si="197"/>
        <v>0.72006986804501216</v>
      </c>
      <c r="BS122" s="807">
        <f t="shared" si="198"/>
        <v>0.70647313831766612</v>
      </c>
      <c r="BT122" s="459" t="s">
        <v>1908</v>
      </c>
      <c r="BU122" s="811">
        <v>0.2</v>
      </c>
      <c r="BV122" s="806" t="str">
        <f t="shared" si="199"/>
        <v>Brindar atención, respuesta inmediata, seguimiento a solicitudes de los ciudadanos, empresas y servidores públicos sobre los tramites y servicios de la ADRES y para la ejecución de Campañas informativas</v>
      </c>
      <c r="BW122" s="810">
        <f>+AO122/4</f>
        <v>126446707.815</v>
      </c>
      <c r="BX122" s="525">
        <f>+(5330+5086+4600)/(5599+5403+4800)*20%</f>
        <v>0.19005189216554869</v>
      </c>
      <c r="BY122" s="1134">
        <f>44665802+44306435+45026099</f>
        <v>133998336</v>
      </c>
      <c r="BZ122" s="805">
        <f t="shared" si="200"/>
        <v>0.95025946082774337</v>
      </c>
      <c r="CA122" s="805">
        <f t="shared" si="201"/>
        <v>1.0597218252297129</v>
      </c>
      <c r="CB122" s="805">
        <f t="shared" si="202"/>
        <v>0.95763473325194803</v>
      </c>
      <c r="CC122" s="805">
        <f t="shared" si="203"/>
        <v>0.97140359462509429</v>
      </c>
      <c r="CD122" s="1106" t="s">
        <v>2065</v>
      </c>
      <c r="CE122" s="631">
        <f t="shared" si="204"/>
        <v>0.98227389688363675</v>
      </c>
      <c r="CF122" s="631">
        <f t="shared" si="205"/>
        <v>0.70647303946179063</v>
      </c>
      <c r="CG122" s="631">
        <f t="shared" si="206"/>
        <v>0.96396396396396411</v>
      </c>
      <c r="CH122" s="631">
        <f t="shared" si="207"/>
        <v>1.0596902388003862</v>
      </c>
      <c r="CI122" s="631">
        <f t="shared" si="208"/>
        <v>0.93404161133244801</v>
      </c>
      <c r="CJ122" s="631">
        <f t="shared" si="209"/>
        <v>1.0597292750084875</v>
      </c>
      <c r="CK122" s="631">
        <f t="shared" si="210"/>
        <v>0.95025946082774337</v>
      </c>
      <c r="CL122" s="685">
        <f t="shared" si="211"/>
        <v>1.0597218252297129</v>
      </c>
      <c r="CM122" s="127">
        <f t="shared" si="134"/>
        <v>0</v>
      </c>
      <c r="CW122" s="121">
        <v>6</v>
      </c>
    </row>
    <row r="123" spans="1:107" s="69" customFormat="1" ht="106.5" customHeight="1" x14ac:dyDescent="0.2">
      <c r="A123" s="684">
        <v>11700</v>
      </c>
      <c r="B123" s="627" t="s">
        <v>14</v>
      </c>
      <c r="C123" s="627" t="s">
        <v>336</v>
      </c>
      <c r="D123" s="123" t="s">
        <v>1017</v>
      </c>
      <c r="E123" s="123"/>
      <c r="F123" s="123"/>
      <c r="G123" s="123"/>
      <c r="H123" s="123"/>
      <c r="I123" s="123"/>
      <c r="J123" s="123"/>
      <c r="K123" s="123"/>
      <c r="L123" s="123"/>
      <c r="M123" s="123"/>
      <c r="N123" s="123"/>
      <c r="O123" s="123"/>
      <c r="P123" s="123"/>
      <c r="Q123" s="806" t="s">
        <v>1126</v>
      </c>
      <c r="R123" s="806" t="s">
        <v>1130</v>
      </c>
      <c r="S123" s="629" t="s">
        <v>238</v>
      </c>
      <c r="T123" s="627" t="s">
        <v>94</v>
      </c>
      <c r="U123" s="627" t="s">
        <v>204</v>
      </c>
      <c r="V123" s="627" t="s">
        <v>204</v>
      </c>
      <c r="W123" s="629" t="s">
        <v>839</v>
      </c>
      <c r="X123" s="627" t="s">
        <v>636</v>
      </c>
      <c r="Y123" s="641" t="s">
        <v>390</v>
      </c>
      <c r="Z123" s="67">
        <v>1</v>
      </c>
      <c r="AA123" s="814" t="s">
        <v>831</v>
      </c>
      <c r="AB123" s="806" t="s">
        <v>634</v>
      </c>
      <c r="AC123" s="826">
        <v>0</v>
      </c>
      <c r="AD123" s="811">
        <v>1</v>
      </c>
      <c r="AE123" s="806" t="s">
        <v>17</v>
      </c>
      <c r="AF123" s="806" t="s">
        <v>23</v>
      </c>
      <c r="AG123" s="806" t="s">
        <v>204</v>
      </c>
      <c r="AH123" s="806" t="s">
        <v>633</v>
      </c>
      <c r="AI123" s="806" t="s">
        <v>78</v>
      </c>
      <c r="AJ123" s="806" t="s">
        <v>1275</v>
      </c>
      <c r="AK123" s="78" t="s">
        <v>635</v>
      </c>
      <c r="AL123" s="627" t="s">
        <v>42</v>
      </c>
      <c r="AM123" s="67">
        <v>1</v>
      </c>
      <c r="AN123" s="806" t="str">
        <f t="shared" si="182"/>
        <v>Actualizar el manual de la Política de Servicio al Ciudadano con el propósito de orientar la gestión al interior de la entidad y socializarlo en los programas de Inducción y Reinducción de la ADRES</v>
      </c>
      <c r="AO123" s="812">
        <f t="shared" si="183"/>
        <v>0</v>
      </c>
      <c r="AP123" s="836" t="s">
        <v>48</v>
      </c>
      <c r="AQ123" s="67">
        <v>1</v>
      </c>
      <c r="AR123" s="806" t="str">
        <f t="shared" si="184"/>
        <v>Actualizar el manual de la Política de Servicio al Ciudadano con el propósito de orientar la gestión al interior de la entidad y socializarlo en los programas de Inducción y Reinducción de la ADRES</v>
      </c>
      <c r="AS123" s="810">
        <v>0</v>
      </c>
      <c r="AT123" s="466">
        <v>1</v>
      </c>
      <c r="AU123" s="840">
        <v>0</v>
      </c>
      <c r="AV123" s="807">
        <f t="shared" si="185"/>
        <v>1</v>
      </c>
      <c r="AW123" s="807" t="e">
        <f t="shared" si="186"/>
        <v>#DIV/0!</v>
      </c>
      <c r="AX123" s="807">
        <f t="shared" si="187"/>
        <v>1</v>
      </c>
      <c r="AY123" s="807" t="e">
        <f t="shared" si="188"/>
        <v>#DIV/0!</v>
      </c>
      <c r="AZ123" s="465" t="s">
        <v>1333</v>
      </c>
      <c r="BA123" s="95">
        <v>0</v>
      </c>
      <c r="BB123" s="806" t="str">
        <f t="shared" si="189"/>
        <v>Actualizar el manual de la Política de Servicio al Ciudadano con el propósito de orientar la gestión al interior de la entidad y socializarlo en los programas de Inducción y Reinducción de la ADRES</v>
      </c>
      <c r="BC123" s="826">
        <v>0</v>
      </c>
      <c r="BD123" s="822">
        <v>0</v>
      </c>
      <c r="BE123" s="810">
        <v>0</v>
      </c>
      <c r="BF123" s="807" t="e">
        <f t="shared" si="190"/>
        <v>#DIV/0!</v>
      </c>
      <c r="BG123" s="807" t="e">
        <f t="shared" si="191"/>
        <v>#DIV/0!</v>
      </c>
      <c r="BH123" s="807">
        <f t="shared" si="192"/>
        <v>1</v>
      </c>
      <c r="BI123" s="807" t="e">
        <f t="shared" si="193"/>
        <v>#DIV/0!</v>
      </c>
      <c r="BJ123" s="809" t="s">
        <v>1331</v>
      </c>
      <c r="BK123" s="95">
        <v>0</v>
      </c>
      <c r="BL123" s="806" t="str">
        <f t="shared" si="194"/>
        <v>Actualizar el manual de la Política de Servicio al Ciudadano con el propósito de orientar la gestión al interior de la entidad y socializarlo en los programas de Inducción y Reinducción de la ADRES</v>
      </c>
      <c r="BM123" s="810">
        <v>0</v>
      </c>
      <c r="BN123" s="949">
        <v>0</v>
      </c>
      <c r="BO123" s="946">
        <v>0</v>
      </c>
      <c r="BP123" s="807" t="e">
        <f t="shared" si="195"/>
        <v>#DIV/0!</v>
      </c>
      <c r="BQ123" s="807" t="e">
        <f t="shared" si="196"/>
        <v>#DIV/0!</v>
      </c>
      <c r="BR123" s="807">
        <f t="shared" si="197"/>
        <v>1</v>
      </c>
      <c r="BS123" s="807" t="e">
        <f t="shared" si="198"/>
        <v>#DIV/0!</v>
      </c>
      <c r="BT123" s="945" t="s">
        <v>1331</v>
      </c>
      <c r="BU123" s="95">
        <v>0</v>
      </c>
      <c r="BV123" s="806" t="str">
        <f t="shared" si="199"/>
        <v>Actualizar el manual de la Política de Servicio al Ciudadano con el propósito de orientar la gestión al interior de la entidad y socializarlo en los programas de Inducción y Reinducción de la ADRES</v>
      </c>
      <c r="BW123" s="810">
        <v>0</v>
      </c>
      <c r="BX123" s="1132"/>
      <c r="BY123" s="1130">
        <v>0</v>
      </c>
      <c r="BZ123" s="805" t="e">
        <f t="shared" si="200"/>
        <v>#DIV/0!</v>
      </c>
      <c r="CA123" s="805" t="e">
        <f t="shared" si="201"/>
        <v>#DIV/0!</v>
      </c>
      <c r="CB123" s="805">
        <f t="shared" si="202"/>
        <v>1</v>
      </c>
      <c r="CC123" s="805" t="e">
        <f t="shared" si="203"/>
        <v>#DIV/0!</v>
      </c>
      <c r="CD123" s="682" t="s">
        <v>2066</v>
      </c>
      <c r="CE123" s="631">
        <f t="shared" si="204"/>
        <v>1</v>
      </c>
      <c r="CF123" s="631" t="str">
        <f t="shared" si="205"/>
        <v>No Prog ni Ejec</v>
      </c>
      <c r="CG123" s="631" t="str">
        <f t="shared" si="206"/>
        <v>No Prog ni Ejec</v>
      </c>
      <c r="CH123" s="631" t="str">
        <f t="shared" si="207"/>
        <v>No Prog ni Ejec</v>
      </c>
      <c r="CI123" s="631" t="str">
        <f t="shared" si="208"/>
        <v>No Prog ni Ejec</v>
      </c>
      <c r="CJ123" s="631" t="str">
        <f t="shared" si="209"/>
        <v>No Prog ni Ejec</v>
      </c>
      <c r="CK123" s="631" t="str">
        <f t="shared" si="210"/>
        <v>No Prog ni Ejec</v>
      </c>
      <c r="CL123" s="685" t="str">
        <f t="shared" si="211"/>
        <v>No Prog ni Ejec</v>
      </c>
      <c r="CM123" s="127">
        <f t="shared" si="134"/>
        <v>0</v>
      </c>
      <c r="CW123" s="121">
        <v>6</v>
      </c>
    </row>
    <row r="124" spans="1:107" s="69" customFormat="1" ht="122.25" customHeight="1" x14ac:dyDescent="0.2">
      <c r="A124" s="684">
        <v>11700</v>
      </c>
      <c r="B124" s="627" t="s">
        <v>14</v>
      </c>
      <c r="C124" s="627" t="s">
        <v>610</v>
      </c>
      <c r="D124" s="123" t="s">
        <v>1017</v>
      </c>
      <c r="E124" s="123"/>
      <c r="F124" s="123"/>
      <c r="G124" s="123" t="s">
        <v>1017</v>
      </c>
      <c r="H124" s="123"/>
      <c r="I124" s="123"/>
      <c r="J124" s="123"/>
      <c r="K124" s="123"/>
      <c r="L124" s="123" t="s">
        <v>1017</v>
      </c>
      <c r="M124" s="123"/>
      <c r="N124" s="123"/>
      <c r="O124" s="123"/>
      <c r="P124" s="123"/>
      <c r="Q124" s="806" t="s">
        <v>1126</v>
      </c>
      <c r="R124" s="806" t="s">
        <v>1759</v>
      </c>
      <c r="S124" s="629" t="s">
        <v>238</v>
      </c>
      <c r="T124" s="627" t="s">
        <v>94</v>
      </c>
      <c r="U124" s="627" t="s">
        <v>204</v>
      </c>
      <c r="V124" s="627" t="s">
        <v>204</v>
      </c>
      <c r="W124" s="629" t="s">
        <v>840</v>
      </c>
      <c r="X124" s="627" t="s">
        <v>638</v>
      </c>
      <c r="Y124" s="641" t="s">
        <v>406</v>
      </c>
      <c r="Z124" s="66">
        <f>25+18</f>
        <v>43</v>
      </c>
      <c r="AA124" s="814" t="s">
        <v>832</v>
      </c>
      <c r="AB124" s="806" t="s">
        <v>637</v>
      </c>
      <c r="AC124" s="810">
        <v>0</v>
      </c>
      <c r="AD124" s="811">
        <v>1</v>
      </c>
      <c r="AE124" s="806" t="s">
        <v>17</v>
      </c>
      <c r="AF124" s="806" t="s">
        <v>23</v>
      </c>
      <c r="AG124" s="806" t="s">
        <v>204</v>
      </c>
      <c r="AH124" s="806" t="s">
        <v>633</v>
      </c>
      <c r="AI124" s="806" t="s">
        <v>78</v>
      </c>
      <c r="AJ124" s="806" t="s">
        <v>1276</v>
      </c>
      <c r="AK124" s="78" t="s">
        <v>1577</v>
      </c>
      <c r="AL124" s="627" t="s">
        <v>42</v>
      </c>
      <c r="AM124" s="67">
        <f>+Z124</f>
        <v>43</v>
      </c>
      <c r="AN124" s="806" t="str">
        <f t="shared" ref="AN124:AN131" si="212">+AB124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812">
        <f t="shared" ref="AO124:AO131" si="213">+AC124</f>
        <v>0</v>
      </c>
      <c r="AP124" s="836" t="s">
        <v>48</v>
      </c>
      <c r="AQ124" s="67">
        <v>25</v>
      </c>
      <c r="AR124" s="806" t="str">
        <f t="shared" ref="AR124:AR131" si="21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810">
        <v>0</v>
      </c>
      <c r="AT124" s="814">
        <v>25</v>
      </c>
      <c r="AU124" s="810">
        <v>0</v>
      </c>
      <c r="AV124" s="807">
        <f>+(AT124/AQ124)</f>
        <v>1</v>
      </c>
      <c r="AW124" s="807" t="e">
        <f t="shared" ref="AW124:AW131" si="215">+(AU124/AS124)</f>
        <v>#DIV/0!</v>
      </c>
      <c r="AX124" s="807">
        <f>+(AT124/AM124)</f>
        <v>0.58139534883720934</v>
      </c>
      <c r="AY124" s="807" t="e">
        <f t="shared" ref="AY124:AY131" si="216">+(AU124/AO124)</f>
        <v>#DIV/0!</v>
      </c>
      <c r="AZ124" s="70" t="s">
        <v>1617</v>
      </c>
      <c r="BA124" s="67">
        <v>6</v>
      </c>
      <c r="BB124" s="806" t="str">
        <f t="shared" ref="BB124:BB131" si="217">+AN124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810">
        <v>0</v>
      </c>
      <c r="BD124" s="817">
        <v>6</v>
      </c>
      <c r="BE124" s="810">
        <v>0</v>
      </c>
      <c r="BF124" s="807">
        <f t="shared" ref="BF124:BF131" si="218">+(BD124/BA124)</f>
        <v>1</v>
      </c>
      <c r="BG124" s="807" t="e">
        <f t="shared" ref="BG124:BG131" si="219">+(BE124/BC124)</f>
        <v>#DIV/0!</v>
      </c>
      <c r="BH124" s="807">
        <f>+(BD124+AT124)/AM124</f>
        <v>0.72093023255813948</v>
      </c>
      <c r="BI124" s="807" t="e">
        <f t="shared" ref="BI124:BI131" si="220">+(BE124+AU124)/AO124</f>
        <v>#DIV/0!</v>
      </c>
      <c r="BJ124" s="808" t="s">
        <v>1735</v>
      </c>
      <c r="BK124" s="67">
        <v>6</v>
      </c>
      <c r="BL124" s="806" t="str">
        <f t="shared" ref="BL124:BL131" si="221">+AN124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810">
        <v>0</v>
      </c>
      <c r="BN124" s="66">
        <f>(6/1)</f>
        <v>6</v>
      </c>
      <c r="BO124" s="946">
        <v>0</v>
      </c>
      <c r="BP124" s="807">
        <f t="shared" ref="BP124:BP131" si="222">+(BN124/BK124)</f>
        <v>1</v>
      </c>
      <c r="BQ124" s="807" t="e">
        <f t="shared" ref="BQ124:BQ131" si="223">+(BO124/BM124)</f>
        <v>#DIV/0!</v>
      </c>
      <c r="BR124" s="807">
        <f t="shared" ref="BR124:BR131" si="224">+(BD124+AT124+BN124)/AM124</f>
        <v>0.86046511627906974</v>
      </c>
      <c r="BS124" s="807" t="e">
        <f t="shared" ref="BS124:BS131" si="225">+(BE124+AU124+BO124)/AO124</f>
        <v>#DIV/0!</v>
      </c>
      <c r="BT124" s="459" t="s">
        <v>1909</v>
      </c>
      <c r="BU124" s="67">
        <v>6</v>
      </c>
      <c r="BV124" s="806" t="str">
        <f t="shared" ref="BV124:BV131" si="226">+AN124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810">
        <v>0</v>
      </c>
      <c r="BX124" s="66">
        <v>6</v>
      </c>
      <c r="BY124" s="1130">
        <v>0</v>
      </c>
      <c r="BZ124" s="805">
        <f t="shared" ref="BZ124:BZ131" si="227">+(BX124/BU124)</f>
        <v>1</v>
      </c>
      <c r="CA124" s="805" t="e">
        <f t="shared" ref="CA124:CA131" si="228">+(BY124/BW124)</f>
        <v>#DIV/0!</v>
      </c>
      <c r="CB124" s="805">
        <f t="shared" ref="CB124:CB131" si="229">+(BD124+AT124+BN124+BX124)/AM124</f>
        <v>1</v>
      </c>
      <c r="CC124" s="805" t="e">
        <f t="shared" ref="CC124:CC131" si="230">+(BE124+AU124+BO124+BY124)/AO124</f>
        <v>#DIV/0!</v>
      </c>
      <c r="CD124" s="682" t="s">
        <v>2067</v>
      </c>
      <c r="CE124" s="631">
        <f t="shared" ref="CE124:CE131" si="231">IF(AND(AQ124=0,AT124=0),"No Prog ni Ejec",IF(AQ124=0,CONCATENATE("No Prog, Ejec=  ",AT124),AT124/AQ124))</f>
        <v>1</v>
      </c>
      <c r="CF124" s="631" t="str">
        <f t="shared" ref="CF124:CF131" si="232">IF(AND(AS124=0,AU124=0),"No Prog ni Ejec",IF(AS124=0,CONCATENATE("No Prog, Ejec=  ",AU124),AU124/AS124))</f>
        <v>No Prog ni Ejec</v>
      </c>
      <c r="CG124" s="631">
        <f t="shared" ref="CG124:CG131" si="233">IF(AND(BA124=0,BD124=0),"No Prog ni Ejec",IF(BA124=0,CONCATENATE("No Prog, Ejec=  ",BD124),BD124/BA124))</f>
        <v>1</v>
      </c>
      <c r="CH124" s="631" t="str">
        <f t="shared" ref="CH124:CH131" si="234">IF(AND(BC124=0,BE124=0),"No Prog ni Ejec",IF(BC124=0,CONCATENATE("No Prog, Ejec=  ",BE124),BE124/BC124))</f>
        <v>No Prog ni Ejec</v>
      </c>
      <c r="CI124" s="631">
        <f t="shared" ref="CI124:CI131" si="235">IF(AND(BK124=0,BN124=0),"No Prog ni Ejec",IF(BK124=0,CONCATENATE("No Prog, Ejec=  ",BN124),BN124/BK124))</f>
        <v>1</v>
      </c>
      <c r="CJ124" s="631" t="str">
        <f t="shared" ref="CJ124:CJ131" si="236">IF(AND(BM124=0,BO124=0),"No Prog ni Ejec",IF(BM124=0,CONCATENATE("No Prog, Ejec=  ",BO124),BO124/BM124))</f>
        <v>No Prog ni Ejec</v>
      </c>
      <c r="CK124" s="631">
        <f t="shared" ref="CK124:CK131" si="237">IF(AND(BU124=0,BX124=0),"No Prog ni Ejec",IF(BU124=0,CONCATENATE("No Prog, Ejec=  ",BX124),BX124/BU124))</f>
        <v>1</v>
      </c>
      <c r="CL124" s="685" t="str">
        <f t="shared" ref="CL124:CL131" si="238">IF(AND(BW124=0,BY124=0),"No Prog ni Ejec",IF(BW124=0,CONCATENATE("No Prog, Ejec=  ",BY124),BY124/BW124))</f>
        <v>No Prog ni Ejec</v>
      </c>
      <c r="CM124" s="127">
        <f t="shared" si="134"/>
        <v>0</v>
      </c>
      <c r="CU124" s="121">
        <v>4</v>
      </c>
      <c r="DB124" s="69">
        <v>11</v>
      </c>
    </row>
    <row r="125" spans="1:107" s="69" customFormat="1" ht="188.25" customHeight="1" x14ac:dyDescent="0.2">
      <c r="A125" s="684">
        <v>11700</v>
      </c>
      <c r="B125" s="627" t="s">
        <v>14</v>
      </c>
      <c r="C125" s="627" t="s">
        <v>336</v>
      </c>
      <c r="D125" s="123" t="s">
        <v>1017</v>
      </c>
      <c r="E125" s="123"/>
      <c r="F125" s="123"/>
      <c r="G125" s="123"/>
      <c r="H125" s="123"/>
      <c r="I125" s="123"/>
      <c r="J125" s="123"/>
      <c r="K125" s="123"/>
      <c r="L125" s="123"/>
      <c r="M125" s="123"/>
      <c r="N125" s="123"/>
      <c r="O125" s="123"/>
      <c r="P125" s="123"/>
      <c r="Q125" s="806" t="s">
        <v>1126</v>
      </c>
      <c r="R125" s="806" t="s">
        <v>1132</v>
      </c>
      <c r="S125" s="629" t="s">
        <v>238</v>
      </c>
      <c r="T125" s="627" t="s">
        <v>94</v>
      </c>
      <c r="U125" s="627" t="s">
        <v>204</v>
      </c>
      <c r="V125" s="627" t="s">
        <v>204</v>
      </c>
      <c r="W125" s="629" t="s">
        <v>841</v>
      </c>
      <c r="X125" s="627" t="s">
        <v>363</v>
      </c>
      <c r="Y125" s="641" t="s">
        <v>406</v>
      </c>
      <c r="Z125" s="811">
        <v>1</v>
      </c>
      <c r="AA125" s="814" t="s">
        <v>833</v>
      </c>
      <c r="AB125" s="806" t="s">
        <v>368</v>
      </c>
      <c r="AC125" s="810">
        <v>0</v>
      </c>
      <c r="AD125" s="811">
        <v>1</v>
      </c>
      <c r="AE125" s="806" t="s">
        <v>17</v>
      </c>
      <c r="AF125" s="806" t="s">
        <v>23</v>
      </c>
      <c r="AG125" s="806" t="s">
        <v>204</v>
      </c>
      <c r="AH125" s="806" t="s">
        <v>633</v>
      </c>
      <c r="AI125" s="806" t="s">
        <v>78</v>
      </c>
      <c r="AJ125" s="806" t="s">
        <v>204</v>
      </c>
      <c r="AK125" s="78" t="s">
        <v>611</v>
      </c>
      <c r="AL125" s="627" t="s">
        <v>42</v>
      </c>
      <c r="AM125" s="811">
        <v>1</v>
      </c>
      <c r="AN125" s="806"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812">
        <f t="shared" si="213"/>
        <v>0</v>
      </c>
      <c r="AP125" s="836" t="s">
        <v>48</v>
      </c>
      <c r="AQ125" s="805">
        <v>0.25</v>
      </c>
      <c r="AR125" s="806" t="str">
        <f t="shared" si="21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810">
        <v>0</v>
      </c>
      <c r="AT125" s="739">
        <v>0.25</v>
      </c>
      <c r="AU125" s="840">
        <v>0</v>
      </c>
      <c r="AV125" s="807">
        <f t="shared" ref="AV125:AV131" si="239">+(AT125/AQ125)</f>
        <v>1</v>
      </c>
      <c r="AW125" s="807" t="e">
        <f t="shared" si="215"/>
        <v>#DIV/0!</v>
      </c>
      <c r="AX125" s="807">
        <f t="shared" ref="AX125:AX131" si="240">+(AT125/AM125)</f>
        <v>0.25</v>
      </c>
      <c r="AY125" s="807" t="e">
        <f t="shared" si="216"/>
        <v>#DIV/0!</v>
      </c>
      <c r="AZ125" s="465" t="s">
        <v>1334</v>
      </c>
      <c r="BA125" s="805">
        <v>0.25</v>
      </c>
      <c r="BB125" s="806" t="str">
        <f t="shared" si="217"/>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810">
        <v>0</v>
      </c>
      <c r="BD125" s="617">
        <f>1/1*0.25</f>
        <v>0.25</v>
      </c>
      <c r="BE125" s="810">
        <v>0</v>
      </c>
      <c r="BF125" s="807">
        <f t="shared" si="218"/>
        <v>1</v>
      </c>
      <c r="BG125" s="807" t="e">
        <f t="shared" si="219"/>
        <v>#DIV/0!</v>
      </c>
      <c r="BH125" s="807">
        <f t="shared" ref="BH125:BH131" si="241">+(BD125+AT125)/AM125</f>
        <v>0.5</v>
      </c>
      <c r="BI125" s="807" t="e">
        <f t="shared" si="220"/>
        <v>#DIV/0!</v>
      </c>
      <c r="BJ125" s="808" t="s">
        <v>1736</v>
      </c>
      <c r="BK125" s="805">
        <v>0.25</v>
      </c>
      <c r="BL125" s="806" t="str">
        <f t="shared" si="221"/>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810">
        <v>0</v>
      </c>
      <c r="BN125" s="617">
        <f>2/2*0.25</f>
        <v>0.25</v>
      </c>
      <c r="BO125" s="946">
        <v>0</v>
      </c>
      <c r="BP125" s="807">
        <f t="shared" si="222"/>
        <v>1</v>
      </c>
      <c r="BQ125" s="807" t="e">
        <f t="shared" si="223"/>
        <v>#DIV/0!</v>
      </c>
      <c r="BR125" s="807">
        <f t="shared" si="224"/>
        <v>0.75</v>
      </c>
      <c r="BS125" s="807" t="e">
        <f t="shared" si="225"/>
        <v>#DIV/0!</v>
      </c>
      <c r="BT125" s="459" t="s">
        <v>1910</v>
      </c>
      <c r="BU125" s="805">
        <v>0.25</v>
      </c>
      <c r="BV125" s="806" t="str">
        <f t="shared" si="226"/>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810">
        <v>0</v>
      </c>
      <c r="BX125" s="461">
        <f>1/1*0.25</f>
        <v>0.25</v>
      </c>
      <c r="BY125" s="1130">
        <v>0</v>
      </c>
      <c r="BZ125" s="805">
        <f t="shared" si="227"/>
        <v>1</v>
      </c>
      <c r="CA125" s="805" t="e">
        <f t="shared" si="228"/>
        <v>#DIV/0!</v>
      </c>
      <c r="CB125" s="805">
        <f t="shared" si="229"/>
        <v>1</v>
      </c>
      <c r="CC125" s="805" t="e">
        <f t="shared" si="230"/>
        <v>#DIV/0!</v>
      </c>
      <c r="CD125" s="682" t="s">
        <v>2068</v>
      </c>
      <c r="CE125" s="631">
        <f t="shared" si="231"/>
        <v>1</v>
      </c>
      <c r="CF125" s="631" t="str">
        <f t="shared" si="232"/>
        <v>No Prog ni Ejec</v>
      </c>
      <c r="CG125" s="631">
        <f t="shared" si="233"/>
        <v>1</v>
      </c>
      <c r="CH125" s="631" t="str">
        <f t="shared" si="234"/>
        <v>No Prog ni Ejec</v>
      </c>
      <c r="CI125" s="631">
        <f t="shared" si="235"/>
        <v>1</v>
      </c>
      <c r="CJ125" s="631" t="str">
        <f t="shared" si="236"/>
        <v>No Prog ni Ejec</v>
      </c>
      <c r="CK125" s="631">
        <f t="shared" si="237"/>
        <v>1</v>
      </c>
      <c r="CL125" s="685" t="str">
        <f t="shared" si="238"/>
        <v>No Prog ni Ejec</v>
      </c>
      <c r="CM125" s="127">
        <f t="shared" si="134"/>
        <v>0</v>
      </c>
      <c r="CR125" s="121">
        <v>1</v>
      </c>
      <c r="CS125" s="121"/>
      <c r="CT125" s="121"/>
      <c r="CU125" s="121"/>
      <c r="CV125" s="121"/>
      <c r="CW125" s="121"/>
      <c r="CX125" s="121"/>
      <c r="CY125" s="121"/>
      <c r="CZ125" s="121"/>
      <c r="DA125" s="121"/>
      <c r="DB125" s="121"/>
      <c r="DC125" s="121"/>
    </row>
    <row r="126" spans="1:107" s="69" customFormat="1" ht="111" customHeight="1" x14ac:dyDescent="0.2">
      <c r="A126" s="684">
        <v>11700</v>
      </c>
      <c r="B126" s="627" t="s">
        <v>14</v>
      </c>
      <c r="C126" s="627" t="s">
        <v>336</v>
      </c>
      <c r="D126" s="123" t="s">
        <v>1017</v>
      </c>
      <c r="E126" s="123"/>
      <c r="F126" s="123"/>
      <c r="G126" s="123"/>
      <c r="H126" s="123"/>
      <c r="I126" s="123"/>
      <c r="J126" s="123"/>
      <c r="K126" s="123"/>
      <c r="L126" s="123"/>
      <c r="M126" s="123"/>
      <c r="N126" s="123"/>
      <c r="O126" s="123"/>
      <c r="P126" s="123"/>
      <c r="Q126" s="806" t="s">
        <v>1758</v>
      </c>
      <c r="R126" s="806" t="s">
        <v>1760</v>
      </c>
      <c r="S126" s="629" t="s">
        <v>238</v>
      </c>
      <c r="T126" s="627" t="s">
        <v>94</v>
      </c>
      <c r="U126" s="627" t="s">
        <v>204</v>
      </c>
      <c r="V126" s="627" t="s">
        <v>204</v>
      </c>
      <c r="W126" s="629" t="s">
        <v>855</v>
      </c>
      <c r="X126" s="627" t="s">
        <v>612</v>
      </c>
      <c r="Y126" s="641" t="s">
        <v>406</v>
      </c>
      <c r="Z126" s="805">
        <v>1</v>
      </c>
      <c r="AA126" s="814" t="s">
        <v>843</v>
      </c>
      <c r="AB126" s="806" t="s">
        <v>369</v>
      </c>
      <c r="AC126" s="810">
        <v>0</v>
      </c>
      <c r="AD126" s="811">
        <v>1</v>
      </c>
      <c r="AE126" s="806" t="s">
        <v>17</v>
      </c>
      <c r="AF126" s="806" t="s">
        <v>23</v>
      </c>
      <c r="AG126" s="806" t="s">
        <v>204</v>
      </c>
      <c r="AH126" s="806" t="s">
        <v>633</v>
      </c>
      <c r="AI126" s="806" t="s">
        <v>78</v>
      </c>
      <c r="AJ126" s="806" t="s">
        <v>1275</v>
      </c>
      <c r="AK126" s="78" t="s">
        <v>423</v>
      </c>
      <c r="AL126" s="627" t="s">
        <v>42</v>
      </c>
      <c r="AM126" s="811">
        <v>1</v>
      </c>
      <c r="AN126" s="806" t="str">
        <f t="shared" si="212"/>
        <v>Evaluar bimensualmente un promedio de 30 respuestas a PQRSD y presentar recomendaciones a las dependencias competentes</v>
      </c>
      <c r="AO126" s="812">
        <f t="shared" si="213"/>
        <v>0</v>
      </c>
      <c r="AP126" s="836" t="s">
        <v>48</v>
      </c>
      <c r="AQ126" s="805">
        <v>0.25</v>
      </c>
      <c r="AR126" s="806" t="str">
        <f t="shared" si="214"/>
        <v>Evaluar bimensualmente un promedio de 30 respuestas a PQRSD y presentar recomendaciones a las dependencias competentes</v>
      </c>
      <c r="AS126" s="810">
        <v>0</v>
      </c>
      <c r="AT126" s="461">
        <v>0.25</v>
      </c>
      <c r="AU126" s="840">
        <v>0</v>
      </c>
      <c r="AV126" s="807">
        <f t="shared" si="239"/>
        <v>1</v>
      </c>
      <c r="AW126" s="807" t="e">
        <f t="shared" si="215"/>
        <v>#DIV/0!</v>
      </c>
      <c r="AX126" s="807">
        <f t="shared" si="240"/>
        <v>0.25</v>
      </c>
      <c r="AY126" s="807" t="e">
        <f t="shared" si="216"/>
        <v>#DIV/0!</v>
      </c>
      <c r="AZ126" s="465" t="s">
        <v>1335</v>
      </c>
      <c r="BA126" s="805">
        <v>0.25</v>
      </c>
      <c r="BB126" s="806" t="str">
        <f t="shared" si="217"/>
        <v>Evaluar bimensualmente un promedio de 30 respuestas a PQRSD y presentar recomendaciones a las dependencias competentes</v>
      </c>
      <c r="BC126" s="810">
        <v>0</v>
      </c>
      <c r="BD126" s="617">
        <f>30/30*0.25</f>
        <v>0.25</v>
      </c>
      <c r="BE126" s="810">
        <v>0</v>
      </c>
      <c r="BF126" s="807">
        <f t="shared" si="218"/>
        <v>1</v>
      </c>
      <c r="BG126" s="807" t="e">
        <f t="shared" si="219"/>
        <v>#DIV/0!</v>
      </c>
      <c r="BH126" s="807">
        <f t="shared" si="241"/>
        <v>0.5</v>
      </c>
      <c r="BI126" s="807" t="e">
        <f t="shared" si="220"/>
        <v>#DIV/0!</v>
      </c>
      <c r="BJ126" s="808" t="s">
        <v>1639</v>
      </c>
      <c r="BK126" s="805">
        <v>0.25</v>
      </c>
      <c r="BL126" s="806" t="str">
        <f t="shared" si="221"/>
        <v>Evaluar bimensualmente un promedio de 30 respuestas a PQRSD y presentar recomendaciones a las dependencias competentes</v>
      </c>
      <c r="BM126" s="810">
        <v>0</v>
      </c>
      <c r="BN126" s="954">
        <f>30/30*0.25</f>
        <v>0.25</v>
      </c>
      <c r="BO126" s="946"/>
      <c r="BP126" s="807">
        <f t="shared" si="222"/>
        <v>1</v>
      </c>
      <c r="BQ126" s="807" t="e">
        <f t="shared" si="223"/>
        <v>#DIV/0!</v>
      </c>
      <c r="BR126" s="807">
        <f t="shared" si="224"/>
        <v>0.75</v>
      </c>
      <c r="BS126" s="807" t="e">
        <f t="shared" si="225"/>
        <v>#DIV/0!</v>
      </c>
      <c r="BT126" s="459" t="s">
        <v>1911</v>
      </c>
      <c r="BU126" s="805">
        <v>0.25</v>
      </c>
      <c r="BV126" s="806" t="str">
        <f t="shared" si="226"/>
        <v>Evaluar bimensualmente un promedio de 30 respuestas a PQRSD y presentar recomendaciones a las dependencias competentes</v>
      </c>
      <c r="BW126" s="810">
        <v>0</v>
      </c>
      <c r="BX126" s="1131">
        <f>30/30*0.25</f>
        <v>0.25</v>
      </c>
      <c r="BY126" s="1130">
        <v>0</v>
      </c>
      <c r="BZ126" s="805">
        <f t="shared" si="227"/>
        <v>1</v>
      </c>
      <c r="CA126" s="805" t="e">
        <f t="shared" si="228"/>
        <v>#DIV/0!</v>
      </c>
      <c r="CB126" s="805">
        <f t="shared" si="229"/>
        <v>1</v>
      </c>
      <c r="CC126" s="805" t="e">
        <f t="shared" si="230"/>
        <v>#DIV/0!</v>
      </c>
      <c r="CD126" s="682" t="s">
        <v>2069</v>
      </c>
      <c r="CE126" s="631">
        <f t="shared" si="231"/>
        <v>1</v>
      </c>
      <c r="CF126" s="631" t="str">
        <f t="shared" si="232"/>
        <v>No Prog ni Ejec</v>
      </c>
      <c r="CG126" s="631">
        <f t="shared" si="233"/>
        <v>1</v>
      </c>
      <c r="CH126" s="631" t="str">
        <f t="shared" si="234"/>
        <v>No Prog ni Ejec</v>
      </c>
      <c r="CI126" s="631">
        <f t="shared" si="235"/>
        <v>1</v>
      </c>
      <c r="CJ126" s="631" t="str">
        <f t="shared" si="236"/>
        <v>No Prog ni Ejec</v>
      </c>
      <c r="CK126" s="631">
        <f t="shared" si="237"/>
        <v>1</v>
      </c>
      <c r="CL126" s="685" t="str">
        <f t="shared" si="238"/>
        <v>No Prog ni Ejec</v>
      </c>
      <c r="CM126" s="127">
        <f t="shared" si="134"/>
        <v>0</v>
      </c>
      <c r="CR126" s="121">
        <v>1</v>
      </c>
      <c r="CS126" s="121"/>
      <c r="CT126" s="121"/>
      <c r="CU126" s="121"/>
      <c r="CV126" s="121"/>
      <c r="CW126" s="121"/>
      <c r="CX126" s="121"/>
      <c r="CY126" s="121"/>
      <c r="CZ126" s="121"/>
      <c r="DA126" s="121"/>
      <c r="DB126" s="121"/>
      <c r="DC126" s="121"/>
    </row>
    <row r="127" spans="1:107" s="69" customFormat="1" ht="153" x14ac:dyDescent="0.2">
      <c r="A127" s="684">
        <v>11700</v>
      </c>
      <c r="B127" s="627" t="s">
        <v>14</v>
      </c>
      <c r="C127" s="627" t="s">
        <v>336</v>
      </c>
      <c r="D127" s="123" t="s">
        <v>1017</v>
      </c>
      <c r="E127" s="123"/>
      <c r="F127" s="123"/>
      <c r="G127" s="123"/>
      <c r="H127" s="123"/>
      <c r="I127" s="123"/>
      <c r="J127" s="123"/>
      <c r="K127" s="123"/>
      <c r="L127" s="123"/>
      <c r="M127" s="123"/>
      <c r="N127" s="123"/>
      <c r="O127" s="123"/>
      <c r="P127" s="123"/>
      <c r="Q127" s="806" t="s">
        <v>1758</v>
      </c>
      <c r="R127" s="806" t="s">
        <v>1761</v>
      </c>
      <c r="S127" s="629" t="s">
        <v>238</v>
      </c>
      <c r="T127" s="627" t="s">
        <v>94</v>
      </c>
      <c r="U127" s="627" t="s">
        <v>204</v>
      </c>
      <c r="V127" s="627" t="s">
        <v>204</v>
      </c>
      <c r="W127" s="629" t="s">
        <v>856</v>
      </c>
      <c r="X127" s="627" t="s">
        <v>364</v>
      </c>
      <c r="Y127" s="641" t="s">
        <v>406</v>
      </c>
      <c r="Z127" s="805">
        <v>0.9</v>
      </c>
      <c r="AA127" s="814" t="s">
        <v>844</v>
      </c>
      <c r="AB127" s="806" t="s">
        <v>428</v>
      </c>
      <c r="AC127" s="810">
        <v>0</v>
      </c>
      <c r="AD127" s="811">
        <v>1</v>
      </c>
      <c r="AE127" s="806" t="s">
        <v>17</v>
      </c>
      <c r="AF127" s="806" t="s">
        <v>23</v>
      </c>
      <c r="AG127" s="806" t="s">
        <v>204</v>
      </c>
      <c r="AH127" s="806" t="s">
        <v>633</v>
      </c>
      <c r="AI127" s="806" t="s">
        <v>78</v>
      </c>
      <c r="AJ127" s="806" t="s">
        <v>204</v>
      </c>
      <c r="AK127" s="78" t="s">
        <v>424</v>
      </c>
      <c r="AL127" s="627" t="s">
        <v>42</v>
      </c>
      <c r="AM127" s="811">
        <v>0.9</v>
      </c>
      <c r="AN127" s="806" t="str">
        <f t="shared" si="212"/>
        <v>Realizar los informes trimestrales de satisfacción a los servicios prestados por la entidad por el canal presencial y presentar las recomendaciones a las áreas de la entidad.</v>
      </c>
      <c r="AO127" s="812">
        <f t="shared" si="213"/>
        <v>0</v>
      </c>
      <c r="AP127" s="836" t="s">
        <v>48</v>
      </c>
      <c r="AQ127" s="93">
        <v>0.22500000000000001</v>
      </c>
      <c r="AR127" s="806" t="str">
        <f t="shared" si="214"/>
        <v>Realizar los informes trimestrales de satisfacción a los servicios prestados por la entidad por el canal presencial y presentar las recomendaciones a las áreas de la entidad.</v>
      </c>
      <c r="AS127" s="810">
        <v>0</v>
      </c>
      <c r="AT127" s="466">
        <v>0.22500000000000001</v>
      </c>
      <c r="AU127" s="840">
        <v>0</v>
      </c>
      <c r="AV127" s="807">
        <f t="shared" si="239"/>
        <v>1</v>
      </c>
      <c r="AW127" s="807" t="e">
        <f t="shared" si="215"/>
        <v>#DIV/0!</v>
      </c>
      <c r="AX127" s="807">
        <f t="shared" si="240"/>
        <v>0.25</v>
      </c>
      <c r="AY127" s="807" t="e">
        <f t="shared" si="216"/>
        <v>#DIV/0!</v>
      </c>
      <c r="AZ127" s="465" t="s">
        <v>1336</v>
      </c>
      <c r="BA127" s="93">
        <v>0.22500000000000001</v>
      </c>
      <c r="BB127" s="806" t="str">
        <f t="shared" si="217"/>
        <v>Realizar los informes trimestrales de satisfacción a los servicios prestados por la entidad por el canal presencial y presentar las recomendaciones a las áreas de la entidad.</v>
      </c>
      <c r="BC127" s="810">
        <v>0</v>
      </c>
      <c r="BD127" s="618">
        <f>413/476*0.225</f>
        <v>0.19522058823529412</v>
      </c>
      <c r="BE127" s="810">
        <v>0</v>
      </c>
      <c r="BF127" s="807">
        <f t="shared" si="218"/>
        <v>0.86764705882352944</v>
      </c>
      <c r="BG127" s="807" t="e">
        <f t="shared" si="219"/>
        <v>#DIV/0!</v>
      </c>
      <c r="BH127" s="807">
        <f t="shared" si="241"/>
        <v>0.46691176470588236</v>
      </c>
      <c r="BI127" s="807" t="e">
        <f t="shared" si="220"/>
        <v>#DIV/0!</v>
      </c>
      <c r="BJ127" s="808" t="s">
        <v>1640</v>
      </c>
      <c r="BK127" s="93">
        <v>0.22500000000000001</v>
      </c>
      <c r="BL127" s="806" t="str">
        <f t="shared" si="221"/>
        <v>Realizar los informes trimestrales de satisfacción a los servicios prestados por la entidad por el canal presencial y presentar las recomendaciones a las áreas de la entidad.</v>
      </c>
      <c r="BM127" s="810">
        <v>0</v>
      </c>
      <c r="BN127" s="945">
        <f>(591/1367)*22.5%</f>
        <v>9.7275054864667157E-2</v>
      </c>
      <c r="BO127" s="946">
        <v>0</v>
      </c>
      <c r="BP127" s="807">
        <f t="shared" si="222"/>
        <v>0.43233357717629844</v>
      </c>
      <c r="BQ127" s="807" t="e">
        <f t="shared" si="223"/>
        <v>#DIV/0!</v>
      </c>
      <c r="BR127" s="807">
        <f t="shared" si="224"/>
        <v>0.57499515899995701</v>
      </c>
      <c r="BS127" s="807" t="e">
        <f t="shared" si="225"/>
        <v>#DIV/0!</v>
      </c>
      <c r="BT127" s="459" t="s">
        <v>1912</v>
      </c>
      <c r="BU127" s="93">
        <v>0.22500000000000001</v>
      </c>
      <c r="BV127" s="806" t="str">
        <f t="shared" si="226"/>
        <v>Realizar los informes trimestrales de satisfacción a los servicios prestados por la entidad por el canal presencial y presentar las recomendaciones a las áreas de la entidad.</v>
      </c>
      <c r="BW127" s="810">
        <v>0</v>
      </c>
      <c r="BX127" s="1143">
        <f>+(367/367)*22.5%</f>
        <v>0.22500000000000001</v>
      </c>
      <c r="BY127" s="1130">
        <v>0</v>
      </c>
      <c r="BZ127" s="805">
        <f t="shared" si="227"/>
        <v>1</v>
      </c>
      <c r="CA127" s="805" t="e">
        <f t="shared" si="228"/>
        <v>#DIV/0!</v>
      </c>
      <c r="CB127" s="805">
        <f t="shared" si="229"/>
        <v>0.82499515899995701</v>
      </c>
      <c r="CC127" s="805" t="e">
        <f t="shared" si="230"/>
        <v>#DIV/0!</v>
      </c>
      <c r="CD127" s="1106" t="s">
        <v>2070</v>
      </c>
      <c r="CE127" s="631">
        <f t="shared" si="231"/>
        <v>1</v>
      </c>
      <c r="CF127" s="631" t="str">
        <f t="shared" si="232"/>
        <v>No Prog ni Ejec</v>
      </c>
      <c r="CG127" s="631">
        <f t="shared" si="233"/>
        <v>0.86764705882352944</v>
      </c>
      <c r="CH127" s="631" t="str">
        <f t="shared" si="234"/>
        <v>No Prog ni Ejec</v>
      </c>
      <c r="CI127" s="631">
        <f t="shared" si="235"/>
        <v>0.43233357717629844</v>
      </c>
      <c r="CJ127" s="631" t="str">
        <f t="shared" si="236"/>
        <v>No Prog ni Ejec</v>
      </c>
      <c r="CK127" s="631">
        <f t="shared" si="237"/>
        <v>1</v>
      </c>
      <c r="CL127" s="685" t="str">
        <f t="shared" si="238"/>
        <v>No Prog ni Ejec</v>
      </c>
      <c r="CM127" s="127">
        <f t="shared" si="134"/>
        <v>0</v>
      </c>
      <c r="CR127" s="121">
        <v>1</v>
      </c>
      <c r="CS127" s="121"/>
      <c r="CT127" s="121"/>
      <c r="CU127" s="121"/>
      <c r="CV127" s="121"/>
      <c r="CW127" s="121"/>
      <c r="CX127" s="121"/>
      <c r="CY127" s="121"/>
      <c r="CZ127" s="121"/>
      <c r="DA127" s="121"/>
      <c r="DB127" s="121"/>
      <c r="DC127" s="121"/>
    </row>
    <row r="128" spans="1:107" s="69" customFormat="1" ht="280.5" x14ac:dyDescent="0.2">
      <c r="A128" s="684">
        <v>11700</v>
      </c>
      <c r="B128" s="627" t="s">
        <v>14</v>
      </c>
      <c r="C128" s="627" t="s">
        <v>336</v>
      </c>
      <c r="D128" s="123" t="s">
        <v>1017</v>
      </c>
      <c r="E128" s="123"/>
      <c r="F128" s="123"/>
      <c r="G128" s="123"/>
      <c r="H128" s="123"/>
      <c r="I128" s="123"/>
      <c r="J128" s="123"/>
      <c r="K128" s="123"/>
      <c r="L128" s="123"/>
      <c r="M128" s="123"/>
      <c r="N128" s="123"/>
      <c r="O128" s="123"/>
      <c r="P128" s="123"/>
      <c r="Q128" s="806" t="s">
        <v>1758</v>
      </c>
      <c r="R128" s="806" t="s">
        <v>1755</v>
      </c>
      <c r="S128" s="629" t="s">
        <v>238</v>
      </c>
      <c r="T128" s="627" t="s">
        <v>94</v>
      </c>
      <c r="U128" s="627" t="s">
        <v>204</v>
      </c>
      <c r="V128" s="627" t="s">
        <v>204</v>
      </c>
      <c r="W128" s="629" t="s">
        <v>857</v>
      </c>
      <c r="X128" s="627" t="s">
        <v>486</v>
      </c>
      <c r="Y128" s="641" t="s">
        <v>51</v>
      </c>
      <c r="Z128" s="805">
        <v>1</v>
      </c>
      <c r="AA128" s="814" t="s">
        <v>845</v>
      </c>
      <c r="AB128" s="806" t="s">
        <v>365</v>
      </c>
      <c r="AC128" s="810">
        <v>0</v>
      </c>
      <c r="AD128" s="811">
        <v>1</v>
      </c>
      <c r="AE128" s="806" t="s">
        <v>17</v>
      </c>
      <c r="AF128" s="806" t="s">
        <v>23</v>
      </c>
      <c r="AG128" s="806" t="s">
        <v>204</v>
      </c>
      <c r="AH128" s="806" t="s">
        <v>633</v>
      </c>
      <c r="AI128" s="806" t="s">
        <v>78</v>
      </c>
      <c r="AJ128" s="806" t="s">
        <v>1266</v>
      </c>
      <c r="AK128" s="78" t="s">
        <v>487</v>
      </c>
      <c r="AL128" s="627" t="s">
        <v>42</v>
      </c>
      <c r="AM128" s="811">
        <v>1</v>
      </c>
      <c r="AN128" s="806" t="str">
        <f t="shared" si="212"/>
        <v>Implementar las recomendaciones generadas por CIDCCA bajo ajustes razonables al punto de Atención al Ciudadano y Correspondencia</v>
      </c>
      <c r="AO128" s="812">
        <f t="shared" si="213"/>
        <v>0</v>
      </c>
      <c r="AP128" s="836" t="s">
        <v>48</v>
      </c>
      <c r="AQ128" s="805">
        <v>0</v>
      </c>
      <c r="AR128" s="806" t="str">
        <f t="shared" si="214"/>
        <v>Implementar las recomendaciones generadas por CIDCCA bajo ajustes razonables al punto de Atención al Ciudadano y Correspondencia</v>
      </c>
      <c r="AS128" s="810">
        <v>0</v>
      </c>
      <c r="AT128" s="466">
        <v>0</v>
      </c>
      <c r="AU128" s="840">
        <v>0</v>
      </c>
      <c r="AV128" s="807" t="e">
        <f t="shared" si="239"/>
        <v>#DIV/0!</v>
      </c>
      <c r="AW128" s="807" t="e">
        <f t="shared" si="215"/>
        <v>#DIV/0!</v>
      </c>
      <c r="AX128" s="807">
        <f t="shared" si="240"/>
        <v>0</v>
      </c>
      <c r="AY128" s="807" t="e">
        <f t="shared" si="216"/>
        <v>#DIV/0!</v>
      </c>
      <c r="AZ128" s="490" t="s">
        <v>1331</v>
      </c>
      <c r="BA128" s="805">
        <v>0</v>
      </c>
      <c r="BB128" s="806" t="str">
        <f t="shared" si="217"/>
        <v>Implementar las recomendaciones generadas por CIDCCA bajo ajustes razonables al punto de Atención al Ciudadano y Correspondencia</v>
      </c>
      <c r="BC128" s="810">
        <v>0</v>
      </c>
      <c r="BD128" s="728">
        <v>0</v>
      </c>
      <c r="BE128" s="810">
        <v>0</v>
      </c>
      <c r="BF128" s="807" t="e">
        <f t="shared" si="218"/>
        <v>#DIV/0!</v>
      </c>
      <c r="BG128" s="807" t="e">
        <f t="shared" si="219"/>
        <v>#DIV/0!</v>
      </c>
      <c r="BH128" s="807">
        <f t="shared" si="241"/>
        <v>0</v>
      </c>
      <c r="BI128" s="807" t="e">
        <f t="shared" si="220"/>
        <v>#DIV/0!</v>
      </c>
      <c r="BJ128" s="809" t="s">
        <v>1331</v>
      </c>
      <c r="BK128" s="805">
        <v>0.5</v>
      </c>
      <c r="BL128" s="806" t="str">
        <f t="shared" si="221"/>
        <v>Implementar las recomendaciones generadas por CIDCCA bajo ajustes razonables al punto de Atención al Ciudadano y Correspondencia</v>
      </c>
      <c r="BM128" s="810">
        <v>0</v>
      </c>
      <c r="BN128" s="954">
        <f>29/132</f>
        <v>0.2196969696969697</v>
      </c>
      <c r="BO128" s="946"/>
      <c r="BP128" s="807">
        <f t="shared" si="222"/>
        <v>0.43939393939393939</v>
      </c>
      <c r="BQ128" s="807" t="e">
        <f t="shared" si="223"/>
        <v>#DIV/0!</v>
      </c>
      <c r="BR128" s="807">
        <f t="shared" si="224"/>
        <v>0.2196969696969697</v>
      </c>
      <c r="BS128" s="807" t="e">
        <f t="shared" si="225"/>
        <v>#DIV/0!</v>
      </c>
      <c r="BT128" s="459" t="s">
        <v>1913</v>
      </c>
      <c r="BU128" s="805">
        <v>0.5</v>
      </c>
      <c r="BV128" s="806" t="str">
        <f t="shared" si="226"/>
        <v>Implementar las recomendaciones generadas por CIDCCA bajo ajustes razonables al punto de Atención al Ciudadano y Correspondencia</v>
      </c>
      <c r="BW128" s="810">
        <v>0</v>
      </c>
      <c r="BX128" s="1131">
        <f>5/10</f>
        <v>0.5</v>
      </c>
      <c r="BY128" s="1130">
        <v>0</v>
      </c>
      <c r="BZ128" s="805">
        <f t="shared" si="227"/>
        <v>1</v>
      </c>
      <c r="CA128" s="805" t="e">
        <f t="shared" si="228"/>
        <v>#DIV/0!</v>
      </c>
      <c r="CB128" s="805">
        <f t="shared" si="229"/>
        <v>0.71969696969696972</v>
      </c>
      <c r="CC128" s="805" t="e">
        <f t="shared" si="230"/>
        <v>#DIV/0!</v>
      </c>
      <c r="CD128" s="682" t="s">
        <v>2071</v>
      </c>
      <c r="CE128" s="631" t="str">
        <f t="shared" si="231"/>
        <v>No Prog ni Ejec</v>
      </c>
      <c r="CF128" s="631" t="str">
        <f t="shared" si="232"/>
        <v>No Prog ni Ejec</v>
      </c>
      <c r="CG128" s="631" t="str">
        <f t="shared" si="233"/>
        <v>No Prog ni Ejec</v>
      </c>
      <c r="CH128" s="631" t="str">
        <f t="shared" si="234"/>
        <v>No Prog ni Ejec</v>
      </c>
      <c r="CI128" s="631">
        <f t="shared" si="235"/>
        <v>0.43939393939393939</v>
      </c>
      <c r="CJ128" s="631" t="str">
        <f t="shared" si="236"/>
        <v>No Prog ni Ejec</v>
      </c>
      <c r="CK128" s="631">
        <f t="shared" si="237"/>
        <v>1</v>
      </c>
      <c r="CL128" s="685" t="str">
        <f t="shared" si="238"/>
        <v>No Prog ni Ejec</v>
      </c>
      <c r="CM128" s="127">
        <f t="shared" si="134"/>
        <v>0</v>
      </c>
      <c r="CR128" s="121">
        <v>1</v>
      </c>
      <c r="CS128" s="121"/>
      <c r="CT128" s="121"/>
      <c r="CU128" s="121"/>
      <c r="CV128" s="121"/>
      <c r="CW128" s="121"/>
      <c r="CX128" s="121"/>
      <c r="CY128" s="121"/>
      <c r="CZ128" s="121"/>
      <c r="DA128" s="121"/>
      <c r="DB128" s="121"/>
      <c r="DC128" s="121"/>
    </row>
    <row r="129" spans="1:107" s="69" customFormat="1" ht="116.25" customHeight="1" x14ac:dyDescent="0.2">
      <c r="A129" s="1121">
        <v>11700</v>
      </c>
      <c r="B129" s="1115" t="s">
        <v>14</v>
      </c>
      <c r="C129" s="1115" t="s">
        <v>336</v>
      </c>
      <c r="D129" s="1126" t="s">
        <v>1017</v>
      </c>
      <c r="E129" s="1126"/>
      <c r="F129" s="1126"/>
      <c r="G129" s="1126"/>
      <c r="H129" s="1126"/>
      <c r="I129" s="1126"/>
      <c r="J129" s="1126"/>
      <c r="K129" s="1126"/>
      <c r="L129" s="1126"/>
      <c r="M129" s="1126"/>
      <c r="N129" s="1126"/>
      <c r="O129" s="1126"/>
      <c r="P129" s="1126"/>
      <c r="Q129" s="1115" t="s">
        <v>1126</v>
      </c>
      <c r="R129" s="1115" t="s">
        <v>1132</v>
      </c>
      <c r="S129" s="1122" t="s">
        <v>238</v>
      </c>
      <c r="T129" s="1115" t="s">
        <v>94</v>
      </c>
      <c r="U129" s="1115" t="s">
        <v>204</v>
      </c>
      <c r="V129" s="1115" t="s">
        <v>204</v>
      </c>
      <c r="W129" s="1122" t="s">
        <v>867</v>
      </c>
      <c r="X129" s="1115" t="s">
        <v>484</v>
      </c>
      <c r="Y129" s="1123" t="s">
        <v>51</v>
      </c>
      <c r="Z129" s="1114">
        <v>1</v>
      </c>
      <c r="AA129" s="1122" t="s">
        <v>858</v>
      </c>
      <c r="AB129" s="1115" t="s">
        <v>370</v>
      </c>
      <c r="AC129" s="1118">
        <v>0</v>
      </c>
      <c r="AD129" s="1119">
        <v>1</v>
      </c>
      <c r="AE129" s="1115" t="s">
        <v>17</v>
      </c>
      <c r="AF129" s="1115" t="s">
        <v>23</v>
      </c>
      <c r="AG129" s="1115" t="s">
        <v>204</v>
      </c>
      <c r="AH129" s="1115" t="s">
        <v>633</v>
      </c>
      <c r="AI129" s="1115" t="s">
        <v>78</v>
      </c>
      <c r="AJ129" s="1115" t="s">
        <v>1266</v>
      </c>
      <c r="AK129" s="78" t="s">
        <v>485</v>
      </c>
      <c r="AL129" s="1115" t="s">
        <v>42</v>
      </c>
      <c r="AM129" s="1119">
        <v>1</v>
      </c>
      <c r="AN129" s="1115" t="str">
        <f t="shared" si="212"/>
        <v>Participar en la Ferias del Servicio al Ciudadano del PNSC en las que la entidad decida asistir</v>
      </c>
      <c r="AO129" s="1120">
        <f t="shared" si="213"/>
        <v>0</v>
      </c>
      <c r="AP129" s="1127" t="s">
        <v>48</v>
      </c>
      <c r="AQ129" s="1114">
        <v>0</v>
      </c>
      <c r="AR129" s="1115" t="str">
        <f t="shared" si="214"/>
        <v>Participar en la Ferias del Servicio al Ciudadano del PNSC en las que la entidad decida asistir</v>
      </c>
      <c r="AS129" s="1118">
        <v>0</v>
      </c>
      <c r="AT129" s="1153">
        <v>0</v>
      </c>
      <c r="AU129" s="1118">
        <v>0</v>
      </c>
      <c r="AV129" s="1116" t="e">
        <f t="shared" si="239"/>
        <v>#DIV/0!</v>
      </c>
      <c r="AW129" s="1116" t="e">
        <f t="shared" si="215"/>
        <v>#DIV/0!</v>
      </c>
      <c r="AX129" s="1116">
        <f t="shared" si="240"/>
        <v>0</v>
      </c>
      <c r="AY129" s="1116" t="e">
        <f t="shared" si="216"/>
        <v>#DIV/0!</v>
      </c>
      <c r="AZ129" s="492" t="s">
        <v>1331</v>
      </c>
      <c r="BA129" s="1114">
        <v>0.33</v>
      </c>
      <c r="BB129" s="1115" t="str">
        <f t="shared" si="217"/>
        <v>Participar en la Ferias del Servicio al Ciudadano del PNSC en las que la entidad decida asistir</v>
      </c>
      <c r="BC129" s="1118">
        <v>0</v>
      </c>
      <c r="BD129" s="728" t="e">
        <f>0/0%</f>
        <v>#DIV/0!</v>
      </c>
      <c r="BE129" s="1118">
        <v>0</v>
      </c>
      <c r="BF129" s="1116" t="e">
        <f t="shared" si="218"/>
        <v>#DIV/0!</v>
      </c>
      <c r="BG129" s="1116" t="e">
        <f t="shared" si="219"/>
        <v>#DIV/0!</v>
      </c>
      <c r="BH129" s="1116" t="e">
        <f t="shared" si="241"/>
        <v>#DIV/0!</v>
      </c>
      <c r="BI129" s="1116" t="e">
        <f t="shared" si="220"/>
        <v>#DIV/0!</v>
      </c>
      <c r="BJ129" s="1117" t="s">
        <v>1641</v>
      </c>
      <c r="BK129" s="1114">
        <v>0.33</v>
      </c>
      <c r="BL129" s="1115" t="str">
        <f t="shared" si="221"/>
        <v>Participar en la Ferias del Servicio al Ciudadano del PNSC en las que la entidad decida asistir</v>
      </c>
      <c r="BM129" s="1118">
        <v>0</v>
      </c>
      <c r="BN129" s="1122" t="e">
        <f>0/0</f>
        <v>#DIV/0!</v>
      </c>
      <c r="BO129" s="1118">
        <v>0</v>
      </c>
      <c r="BP129" s="1116" t="e">
        <f t="shared" si="222"/>
        <v>#DIV/0!</v>
      </c>
      <c r="BQ129" s="1116" t="e">
        <f t="shared" si="223"/>
        <v>#DIV/0!</v>
      </c>
      <c r="BR129" s="1116" t="e">
        <f t="shared" si="224"/>
        <v>#DIV/0!</v>
      </c>
      <c r="BS129" s="1116" t="e">
        <f t="shared" si="225"/>
        <v>#DIV/0!</v>
      </c>
      <c r="BT129" s="459" t="s">
        <v>1641</v>
      </c>
      <c r="BU129" s="1114">
        <v>0.33</v>
      </c>
      <c r="BV129" s="1115" t="str">
        <f t="shared" si="226"/>
        <v>Participar en la Ferias del Servicio al Ciudadano del PNSC en las que la entidad decida asistir</v>
      </c>
      <c r="BW129" s="1118">
        <v>0</v>
      </c>
      <c r="BX129" s="461">
        <f>1/1*33%</f>
        <v>0.33</v>
      </c>
      <c r="BY129" s="1145">
        <v>0</v>
      </c>
      <c r="BZ129" s="1114">
        <f t="shared" si="227"/>
        <v>1</v>
      </c>
      <c r="CA129" s="1114" t="e">
        <f t="shared" si="228"/>
        <v>#DIV/0!</v>
      </c>
      <c r="CB129" s="1114">
        <f>+(AT129+BX129)/AM129</f>
        <v>0.33</v>
      </c>
      <c r="CC129" s="1114" t="e">
        <f t="shared" si="230"/>
        <v>#DIV/0!</v>
      </c>
      <c r="CD129" s="1106" t="s">
        <v>2072</v>
      </c>
      <c r="CE129" s="1125" t="str">
        <f t="shared" si="231"/>
        <v>No Prog ni Ejec</v>
      </c>
      <c r="CF129" s="1125" t="str">
        <f t="shared" si="232"/>
        <v>No Prog ni Ejec</v>
      </c>
      <c r="CG129" s="1125" t="e">
        <f t="shared" si="233"/>
        <v>#DIV/0!</v>
      </c>
      <c r="CH129" s="1125" t="str">
        <f t="shared" si="234"/>
        <v>No Prog ni Ejec</v>
      </c>
      <c r="CI129" s="1125" t="e">
        <f t="shared" si="235"/>
        <v>#DIV/0!</v>
      </c>
      <c r="CJ129" s="1125" t="str">
        <f t="shared" si="236"/>
        <v>No Prog ni Ejec</v>
      </c>
      <c r="CK129" s="1125">
        <f t="shared" si="237"/>
        <v>1</v>
      </c>
      <c r="CL129" s="1124" t="str">
        <f t="shared" si="238"/>
        <v>No Prog ni Ejec</v>
      </c>
      <c r="CM129" s="127">
        <f t="shared" si="134"/>
        <v>0</v>
      </c>
      <c r="CR129" s="121">
        <v>1</v>
      </c>
      <c r="CS129" s="121"/>
      <c r="CT129" s="121"/>
      <c r="CU129" s="121"/>
      <c r="CV129" s="121"/>
      <c r="CW129" s="121"/>
      <c r="CX129" s="121"/>
      <c r="CY129" s="121"/>
      <c r="CZ129" s="121"/>
      <c r="DA129" s="121"/>
      <c r="DB129" s="121"/>
      <c r="DC129" s="121"/>
    </row>
    <row r="130" spans="1:107" s="69" customFormat="1" ht="154.5" customHeight="1" x14ac:dyDescent="0.2">
      <c r="A130" s="684">
        <v>11700</v>
      </c>
      <c r="B130" s="627" t="s">
        <v>14</v>
      </c>
      <c r="C130" s="627" t="s">
        <v>336</v>
      </c>
      <c r="D130" s="123" t="s">
        <v>1017</v>
      </c>
      <c r="E130" s="123"/>
      <c r="F130" s="123"/>
      <c r="G130" s="123"/>
      <c r="H130" s="123"/>
      <c r="I130" s="123"/>
      <c r="J130" s="123"/>
      <c r="K130" s="123"/>
      <c r="L130" s="123"/>
      <c r="M130" s="123"/>
      <c r="N130" s="123"/>
      <c r="O130" s="123"/>
      <c r="P130" s="123"/>
      <c r="Q130" s="806" t="s">
        <v>1758</v>
      </c>
      <c r="R130" s="806" t="s">
        <v>1756</v>
      </c>
      <c r="S130" s="629" t="s">
        <v>238</v>
      </c>
      <c r="T130" s="627" t="s">
        <v>94</v>
      </c>
      <c r="U130" s="627" t="s">
        <v>204</v>
      </c>
      <c r="V130" s="627" t="s">
        <v>204</v>
      </c>
      <c r="W130" s="629" t="s">
        <v>868</v>
      </c>
      <c r="X130" s="627" t="s">
        <v>366</v>
      </c>
      <c r="Y130" s="641" t="s">
        <v>406</v>
      </c>
      <c r="Z130" s="814">
        <v>2</v>
      </c>
      <c r="AA130" s="814" t="s">
        <v>859</v>
      </c>
      <c r="AB130" s="806" t="s">
        <v>371</v>
      </c>
      <c r="AC130" s="810">
        <v>0</v>
      </c>
      <c r="AD130" s="811">
        <v>1</v>
      </c>
      <c r="AE130" s="806" t="s">
        <v>17</v>
      </c>
      <c r="AF130" s="806" t="s">
        <v>23</v>
      </c>
      <c r="AG130" s="806" t="s">
        <v>204</v>
      </c>
      <c r="AH130" s="806" t="s">
        <v>633</v>
      </c>
      <c r="AI130" s="806" t="s">
        <v>78</v>
      </c>
      <c r="AJ130" s="806" t="s">
        <v>1275</v>
      </c>
      <c r="AK130" s="78" t="s">
        <v>373</v>
      </c>
      <c r="AL130" s="627" t="s">
        <v>42</v>
      </c>
      <c r="AM130" s="814">
        <v>2</v>
      </c>
      <c r="AN130" s="806"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812">
        <f t="shared" si="213"/>
        <v>0</v>
      </c>
      <c r="AP130" s="836" t="s">
        <v>48</v>
      </c>
      <c r="AQ130" s="814">
        <v>1</v>
      </c>
      <c r="AR130" s="806" t="str">
        <f t="shared" si="21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810">
        <v>0</v>
      </c>
      <c r="AT130" s="466">
        <v>1</v>
      </c>
      <c r="AU130" s="840">
        <v>0</v>
      </c>
      <c r="AV130" s="807">
        <f t="shared" si="239"/>
        <v>1</v>
      </c>
      <c r="AW130" s="807" t="e">
        <f t="shared" si="215"/>
        <v>#DIV/0!</v>
      </c>
      <c r="AX130" s="807">
        <f t="shared" si="240"/>
        <v>0.5</v>
      </c>
      <c r="AY130" s="807" t="e">
        <f t="shared" si="216"/>
        <v>#DIV/0!</v>
      </c>
      <c r="AZ130" s="465" t="s">
        <v>1337</v>
      </c>
      <c r="BA130" s="814">
        <v>0</v>
      </c>
      <c r="BB130" s="806" t="str">
        <f t="shared" si="217"/>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810">
        <v>0</v>
      </c>
      <c r="BD130" s="822">
        <v>0</v>
      </c>
      <c r="BE130" s="810">
        <v>0</v>
      </c>
      <c r="BF130" s="807" t="e">
        <f t="shared" si="218"/>
        <v>#DIV/0!</v>
      </c>
      <c r="BG130" s="807" t="e">
        <f t="shared" si="219"/>
        <v>#DIV/0!</v>
      </c>
      <c r="BH130" s="807">
        <f t="shared" si="241"/>
        <v>0.5</v>
      </c>
      <c r="BI130" s="807" t="e">
        <f t="shared" si="220"/>
        <v>#DIV/0!</v>
      </c>
      <c r="BJ130" s="808" t="s">
        <v>1642</v>
      </c>
      <c r="BK130" s="814">
        <v>1</v>
      </c>
      <c r="BL130" s="806" t="str">
        <f t="shared" si="221"/>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810">
        <v>0</v>
      </c>
      <c r="BN130" s="867">
        <v>1</v>
      </c>
      <c r="BO130" s="946">
        <v>0</v>
      </c>
      <c r="BP130" s="807">
        <f t="shared" si="222"/>
        <v>1</v>
      </c>
      <c r="BQ130" s="807" t="e">
        <f t="shared" si="223"/>
        <v>#DIV/0!</v>
      </c>
      <c r="BR130" s="807">
        <f t="shared" si="224"/>
        <v>1</v>
      </c>
      <c r="BS130" s="807" t="e">
        <f t="shared" si="225"/>
        <v>#DIV/0!</v>
      </c>
      <c r="BT130" s="945" t="s">
        <v>1914</v>
      </c>
      <c r="BU130" s="814">
        <v>0</v>
      </c>
      <c r="BV130" s="806" t="str">
        <f t="shared" si="226"/>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810">
        <v>0</v>
      </c>
      <c r="BX130" s="1132">
        <v>0</v>
      </c>
      <c r="BY130" s="1130">
        <v>0</v>
      </c>
      <c r="BZ130" s="805" t="e">
        <f t="shared" si="227"/>
        <v>#DIV/0!</v>
      </c>
      <c r="CA130" s="805" t="e">
        <f t="shared" si="228"/>
        <v>#DIV/0!</v>
      </c>
      <c r="CB130" s="805">
        <f t="shared" si="229"/>
        <v>1</v>
      </c>
      <c r="CC130" s="805" t="e">
        <f t="shared" si="230"/>
        <v>#DIV/0!</v>
      </c>
      <c r="CD130" s="682" t="s">
        <v>1331</v>
      </c>
      <c r="CE130" s="631">
        <f t="shared" si="231"/>
        <v>1</v>
      </c>
      <c r="CF130" s="631" t="str">
        <f t="shared" si="232"/>
        <v>No Prog ni Ejec</v>
      </c>
      <c r="CG130" s="631" t="str">
        <f t="shared" si="233"/>
        <v>No Prog ni Ejec</v>
      </c>
      <c r="CH130" s="631" t="str">
        <f t="shared" si="234"/>
        <v>No Prog ni Ejec</v>
      </c>
      <c r="CI130" s="631">
        <f t="shared" si="235"/>
        <v>1</v>
      </c>
      <c r="CJ130" s="631" t="str">
        <f t="shared" si="236"/>
        <v>No Prog ni Ejec</v>
      </c>
      <c r="CK130" s="631" t="str">
        <f t="shared" si="237"/>
        <v>No Prog ni Ejec</v>
      </c>
      <c r="CL130" s="685" t="str">
        <f t="shared" si="238"/>
        <v>No Prog ni Ejec</v>
      </c>
      <c r="CM130" s="127">
        <f t="shared" si="134"/>
        <v>0</v>
      </c>
      <c r="CR130" s="121">
        <v>1</v>
      </c>
      <c r="CS130" s="121"/>
      <c r="CT130" s="121"/>
      <c r="CU130" s="121"/>
      <c r="CV130" s="121"/>
      <c r="CW130" s="121"/>
      <c r="CX130" s="121"/>
      <c r="CY130" s="121"/>
      <c r="CZ130" s="121"/>
      <c r="DA130" s="121"/>
      <c r="DB130" s="121"/>
      <c r="DC130" s="121"/>
    </row>
    <row r="131" spans="1:107" s="69" customFormat="1" ht="111.75" customHeight="1" x14ac:dyDescent="0.2">
      <c r="A131" s="684">
        <v>11700</v>
      </c>
      <c r="B131" s="627" t="s">
        <v>14</v>
      </c>
      <c r="C131" s="627" t="s">
        <v>336</v>
      </c>
      <c r="D131" s="123" t="s">
        <v>1017</v>
      </c>
      <c r="E131" s="123"/>
      <c r="F131" s="123"/>
      <c r="G131" s="123"/>
      <c r="H131" s="123"/>
      <c r="I131" s="123"/>
      <c r="J131" s="123"/>
      <c r="K131" s="123"/>
      <c r="L131" s="123"/>
      <c r="M131" s="123"/>
      <c r="N131" s="123"/>
      <c r="O131" s="123"/>
      <c r="P131" s="123"/>
      <c r="Q131" s="806" t="s">
        <v>1758</v>
      </c>
      <c r="R131" s="806" t="s">
        <v>1757</v>
      </c>
      <c r="S131" s="629" t="s">
        <v>238</v>
      </c>
      <c r="T131" s="627" t="s">
        <v>94</v>
      </c>
      <c r="U131" s="627" t="s">
        <v>204</v>
      </c>
      <c r="V131" s="627" t="s">
        <v>204</v>
      </c>
      <c r="W131" s="629" t="s">
        <v>869</v>
      </c>
      <c r="X131" s="627" t="s">
        <v>367</v>
      </c>
      <c r="Y131" s="641" t="s">
        <v>406</v>
      </c>
      <c r="Z131" s="814">
        <v>4</v>
      </c>
      <c r="AA131" s="814" t="s">
        <v>860</v>
      </c>
      <c r="AB131" s="806" t="s">
        <v>372</v>
      </c>
      <c r="AC131" s="810">
        <v>0</v>
      </c>
      <c r="AD131" s="811">
        <v>1</v>
      </c>
      <c r="AE131" s="806" t="s">
        <v>17</v>
      </c>
      <c r="AF131" s="806" t="s">
        <v>23</v>
      </c>
      <c r="AG131" s="806" t="s">
        <v>204</v>
      </c>
      <c r="AH131" s="806" t="s">
        <v>633</v>
      </c>
      <c r="AI131" s="806" t="s">
        <v>78</v>
      </c>
      <c r="AJ131" s="806" t="s">
        <v>1275</v>
      </c>
      <c r="AK131" s="78" t="s">
        <v>425</v>
      </c>
      <c r="AL131" s="627" t="s">
        <v>42</v>
      </c>
      <c r="AM131" s="814">
        <v>4</v>
      </c>
      <c r="AN131" s="806" t="str">
        <f t="shared" si="212"/>
        <v>Informes trimestrales de PQRS presentado a la OCI de la Entidad</v>
      </c>
      <c r="AO131" s="812">
        <f t="shared" si="213"/>
        <v>0</v>
      </c>
      <c r="AP131" s="836" t="s">
        <v>48</v>
      </c>
      <c r="AQ131" s="814">
        <v>1</v>
      </c>
      <c r="AR131" s="806" t="str">
        <f t="shared" si="214"/>
        <v>Informes trimestrales de PQRS presentado a la OCI de la Entidad</v>
      </c>
      <c r="AS131" s="810">
        <v>0</v>
      </c>
      <c r="AT131" s="466">
        <v>1</v>
      </c>
      <c r="AU131" s="840">
        <v>0</v>
      </c>
      <c r="AV131" s="807">
        <f t="shared" si="239"/>
        <v>1</v>
      </c>
      <c r="AW131" s="807" t="e">
        <f t="shared" si="215"/>
        <v>#DIV/0!</v>
      </c>
      <c r="AX131" s="807">
        <f t="shared" si="240"/>
        <v>0.25</v>
      </c>
      <c r="AY131" s="807" t="e">
        <f t="shared" si="216"/>
        <v>#DIV/0!</v>
      </c>
      <c r="AZ131" s="465" t="s">
        <v>1338</v>
      </c>
      <c r="BA131" s="814">
        <v>1</v>
      </c>
      <c r="BB131" s="806" t="str">
        <f t="shared" si="217"/>
        <v>Informes trimestrales de PQRS presentado a la OCI de la Entidad</v>
      </c>
      <c r="BC131" s="810">
        <v>0</v>
      </c>
      <c r="BD131" s="822">
        <v>1</v>
      </c>
      <c r="BE131" s="810">
        <v>0</v>
      </c>
      <c r="BF131" s="807">
        <f t="shared" si="218"/>
        <v>1</v>
      </c>
      <c r="BG131" s="807" t="e">
        <f t="shared" si="219"/>
        <v>#DIV/0!</v>
      </c>
      <c r="BH131" s="807">
        <f t="shared" si="241"/>
        <v>0.5</v>
      </c>
      <c r="BI131" s="807" t="e">
        <f t="shared" si="220"/>
        <v>#DIV/0!</v>
      </c>
      <c r="BJ131" s="808" t="s">
        <v>1643</v>
      </c>
      <c r="BK131" s="814">
        <v>1</v>
      </c>
      <c r="BL131" s="806" t="str">
        <f t="shared" si="221"/>
        <v>Informes trimestrales de PQRS presentado a la OCI de la Entidad</v>
      </c>
      <c r="BM131" s="810">
        <v>0</v>
      </c>
      <c r="BN131" s="949">
        <v>1</v>
      </c>
      <c r="BO131" s="946">
        <v>0</v>
      </c>
      <c r="BP131" s="807">
        <f t="shared" si="222"/>
        <v>1</v>
      </c>
      <c r="BQ131" s="807" t="e">
        <f t="shared" si="223"/>
        <v>#DIV/0!</v>
      </c>
      <c r="BR131" s="807">
        <f t="shared" si="224"/>
        <v>0.75</v>
      </c>
      <c r="BS131" s="807" t="e">
        <f t="shared" si="225"/>
        <v>#DIV/0!</v>
      </c>
      <c r="BT131" s="945" t="s">
        <v>1915</v>
      </c>
      <c r="BU131" s="814">
        <v>1</v>
      </c>
      <c r="BV131" s="806" t="str">
        <f t="shared" si="226"/>
        <v>Informes trimestrales de PQRS presentado a la OCI de la Entidad</v>
      </c>
      <c r="BW131" s="810">
        <v>0</v>
      </c>
      <c r="BX131" s="1132">
        <v>1</v>
      </c>
      <c r="BY131" s="1130">
        <v>0</v>
      </c>
      <c r="BZ131" s="805">
        <f t="shared" si="227"/>
        <v>1</v>
      </c>
      <c r="CA131" s="805" t="e">
        <f t="shared" si="228"/>
        <v>#DIV/0!</v>
      </c>
      <c r="CB131" s="805">
        <f t="shared" si="229"/>
        <v>1</v>
      </c>
      <c r="CC131" s="805" t="e">
        <f t="shared" si="230"/>
        <v>#DIV/0!</v>
      </c>
      <c r="CD131" s="682" t="s">
        <v>2073</v>
      </c>
      <c r="CE131" s="631">
        <f t="shared" si="231"/>
        <v>1</v>
      </c>
      <c r="CF131" s="631" t="str">
        <f t="shared" si="232"/>
        <v>No Prog ni Ejec</v>
      </c>
      <c r="CG131" s="631">
        <f t="shared" si="233"/>
        <v>1</v>
      </c>
      <c r="CH131" s="631" t="str">
        <f t="shared" si="234"/>
        <v>No Prog ni Ejec</v>
      </c>
      <c r="CI131" s="631">
        <f t="shared" si="235"/>
        <v>1</v>
      </c>
      <c r="CJ131" s="631" t="str">
        <f t="shared" si="236"/>
        <v>No Prog ni Ejec</v>
      </c>
      <c r="CK131" s="631">
        <f t="shared" si="237"/>
        <v>1</v>
      </c>
      <c r="CL131" s="685" t="str">
        <f t="shared" si="238"/>
        <v>No Prog ni Ejec</v>
      </c>
      <c r="CM131" s="127">
        <f t="shared" si="134"/>
        <v>0</v>
      </c>
      <c r="CR131" s="121">
        <v>1</v>
      </c>
      <c r="CS131" s="121"/>
      <c r="CT131" s="121"/>
      <c r="CU131" s="121"/>
      <c r="CV131" s="121"/>
      <c r="CW131" s="121"/>
      <c r="CX131" s="121"/>
      <c r="CY131" s="121"/>
      <c r="CZ131" s="121"/>
      <c r="DA131" s="121"/>
      <c r="DB131" s="121"/>
      <c r="DC131" s="121"/>
    </row>
    <row r="132" spans="1:107" s="69" customFormat="1" ht="112.5" customHeight="1" x14ac:dyDescent="0.2">
      <c r="A132" s="684">
        <v>11700</v>
      </c>
      <c r="B132" s="627" t="s">
        <v>14</v>
      </c>
      <c r="C132" s="627" t="s">
        <v>336</v>
      </c>
      <c r="D132" s="123" t="s">
        <v>1017</v>
      </c>
      <c r="E132" s="123"/>
      <c r="F132" s="123"/>
      <c r="G132" s="123"/>
      <c r="H132" s="123"/>
      <c r="I132" s="123"/>
      <c r="J132" s="123"/>
      <c r="K132" s="123"/>
      <c r="L132" s="123"/>
      <c r="M132" s="123"/>
      <c r="N132" s="123"/>
      <c r="O132" s="123"/>
      <c r="P132" s="123"/>
      <c r="Q132" s="806" t="s">
        <v>1598</v>
      </c>
      <c r="R132" s="627" t="s">
        <v>1133</v>
      </c>
      <c r="S132" s="629" t="s">
        <v>238</v>
      </c>
      <c r="T132" s="627" t="s">
        <v>94</v>
      </c>
      <c r="U132" s="627" t="s">
        <v>204</v>
      </c>
      <c r="V132" s="627" t="s">
        <v>204</v>
      </c>
      <c r="W132" s="629" t="s">
        <v>870</v>
      </c>
      <c r="X132" s="627" t="s">
        <v>900</v>
      </c>
      <c r="Y132" s="641" t="s">
        <v>51</v>
      </c>
      <c r="Z132" s="805">
        <v>1</v>
      </c>
      <c r="AA132" s="814" t="s">
        <v>861</v>
      </c>
      <c r="AB132" s="806" t="s">
        <v>901</v>
      </c>
      <c r="AC132" s="826">
        <v>0</v>
      </c>
      <c r="AD132" s="811">
        <v>1</v>
      </c>
      <c r="AE132" s="806" t="s">
        <v>18</v>
      </c>
      <c r="AF132" s="806" t="s">
        <v>24</v>
      </c>
      <c r="AG132" s="806" t="s">
        <v>204</v>
      </c>
      <c r="AH132" s="806" t="s">
        <v>633</v>
      </c>
      <c r="AI132" s="806" t="s">
        <v>76</v>
      </c>
      <c r="AJ132" s="806" t="s">
        <v>1266</v>
      </c>
      <c r="AK132" s="806" t="s">
        <v>902</v>
      </c>
      <c r="AL132" s="627" t="s">
        <v>40</v>
      </c>
      <c r="AM132" s="83">
        <v>1</v>
      </c>
      <c r="AN132" s="806" t="str">
        <f t="shared" ref="AN132:AO136" si="242">+AB132</f>
        <v xml:space="preserve">Convocar a las veedurías ciudadanas para que participen el proceso de licitación pública </v>
      </c>
      <c r="AO132" s="812">
        <f t="shared" si="242"/>
        <v>0</v>
      </c>
      <c r="AP132" s="836" t="s">
        <v>48</v>
      </c>
      <c r="AQ132" s="811">
        <v>0</v>
      </c>
      <c r="AR132" s="806" t="str">
        <f>+AN132</f>
        <v xml:space="preserve">Convocar a las veedurías ciudadanas para que participen el proceso de licitación pública </v>
      </c>
      <c r="AS132" s="810">
        <v>0</v>
      </c>
      <c r="AT132" s="466">
        <v>0</v>
      </c>
      <c r="AU132" s="840">
        <v>0</v>
      </c>
      <c r="AV132" s="807" t="e">
        <f t="shared" ref="AV132:AV145" si="243">+(AT132/AQ132)</f>
        <v>#DIV/0!</v>
      </c>
      <c r="AW132" s="807" t="e">
        <f t="shared" ref="AW132:AW151" si="244">+(AU132/AS132)</f>
        <v>#DIV/0!</v>
      </c>
      <c r="AX132" s="807">
        <f t="shared" ref="AX132:AX145" si="245">+(AT132/AM132)</f>
        <v>0</v>
      </c>
      <c r="AY132" s="807" t="e">
        <f t="shared" ref="AY132:AY145" si="246">+(AU132/AO132)</f>
        <v>#DIV/0!</v>
      </c>
      <c r="AZ132" s="465" t="s">
        <v>1339</v>
      </c>
      <c r="BA132" s="811">
        <v>0</v>
      </c>
      <c r="BB132" s="806" t="str">
        <f>+AN132</f>
        <v xml:space="preserve">Convocar a las veedurías ciudadanas para que participen el proceso de licitación pública </v>
      </c>
      <c r="BC132" s="810">
        <v>0</v>
      </c>
      <c r="BD132" s="677">
        <f>(1/3)*BA132</f>
        <v>0</v>
      </c>
      <c r="BE132" s="810">
        <v>0</v>
      </c>
      <c r="BF132" s="807" t="e">
        <f t="shared" ref="BF132:BF151" si="247">+(BD132/BA132)</f>
        <v>#DIV/0!</v>
      </c>
      <c r="BG132" s="807" t="e">
        <f t="shared" ref="BG132:BG151" si="248">+(BE132/BC132)</f>
        <v>#DIV/0!</v>
      </c>
      <c r="BH132" s="807">
        <f t="shared" ref="BH132:BH151" si="249">+(BD132+AT132)/AM132</f>
        <v>0</v>
      </c>
      <c r="BI132" s="807" t="e">
        <f t="shared" ref="BI132:BI151" si="250">+(BE132+AU132)/AO132</f>
        <v>#DIV/0!</v>
      </c>
      <c r="BJ132" s="806" t="s">
        <v>1644</v>
      </c>
      <c r="BK132" s="811">
        <v>0</v>
      </c>
      <c r="BL132" s="806" t="str">
        <f>+AN132</f>
        <v xml:space="preserve">Convocar a las veedurías ciudadanas para que participen el proceso de licitación pública </v>
      </c>
      <c r="BM132" s="810">
        <v>0</v>
      </c>
      <c r="BN132" s="954">
        <v>0</v>
      </c>
      <c r="BO132" s="946">
        <v>0</v>
      </c>
      <c r="BP132" s="807" t="e">
        <f t="shared" ref="BP132:BP141" si="251">+(BN132/BK132)</f>
        <v>#DIV/0!</v>
      </c>
      <c r="BQ132" s="807" t="e">
        <f t="shared" ref="BQ132:BQ141" si="252">+(BO132/BM132)</f>
        <v>#DIV/0!</v>
      </c>
      <c r="BR132" s="807">
        <f t="shared" ref="BR132:BR141" si="253">+(BD132+AT132+BN132)/AM132</f>
        <v>0</v>
      </c>
      <c r="BS132" s="807" t="e">
        <f t="shared" ref="BS132:BS141" si="254">+(BE132+AU132+BO132)/AO132</f>
        <v>#DIV/0!</v>
      </c>
      <c r="BT132" s="459" t="s">
        <v>1916</v>
      </c>
      <c r="BU132" s="811">
        <v>1</v>
      </c>
      <c r="BV132" s="806" t="str">
        <f>+AN132</f>
        <v xml:space="preserve">Convocar a las veedurías ciudadanas para que participen el proceso de licitación pública </v>
      </c>
      <c r="BW132" s="810">
        <v>0</v>
      </c>
      <c r="BX132" s="1181">
        <f>(1/1)*BU132</f>
        <v>1</v>
      </c>
      <c r="BY132" s="1130">
        <v>0</v>
      </c>
      <c r="BZ132" s="805">
        <f t="shared" ref="BZ132:BZ141" si="255">+(BX132/BU132)</f>
        <v>1</v>
      </c>
      <c r="CA132" s="805" t="e">
        <f t="shared" ref="CA132:CA141" si="256">+(BY132/BW132)</f>
        <v>#DIV/0!</v>
      </c>
      <c r="CB132" s="805">
        <f t="shared" ref="CB132:CB141" si="257">+(BD132+AT132+BN132+BX132)/AM132</f>
        <v>1</v>
      </c>
      <c r="CC132" s="805" t="e">
        <f t="shared" ref="CC132:CC141" si="258">+(BE132+AU132+BO132+BY132)/AO132</f>
        <v>#DIV/0!</v>
      </c>
      <c r="CD132" s="1180" t="s">
        <v>2101</v>
      </c>
      <c r="CE132" s="631" t="str">
        <f t="shared" ref="CE132:CE141" si="259">IF(AND(AQ132=0,AT132=0),"No Prog ni Ejec",IF(AQ132=0,CONCATENATE("No Prog, Ejec=  ",AT132),AT132/AQ132))</f>
        <v>No Prog ni Ejec</v>
      </c>
      <c r="CF132" s="631" t="str">
        <f t="shared" ref="CF132:CF141" si="260">IF(AND(AS132=0,AU132=0),"No Prog ni Ejec",IF(AS132=0,CONCATENATE("No Prog, Ejec=  ",AU132),AU132/AS132))</f>
        <v>No Prog ni Ejec</v>
      </c>
      <c r="CG132" s="631" t="str">
        <f t="shared" ref="CG132:CG141" si="261">IF(AND(BA132=0,BD132=0),"No Prog ni Ejec",IF(BA132=0,CONCATENATE("No Prog, Ejec=  ",BD132),BD132/BA132))</f>
        <v>No Prog ni Ejec</v>
      </c>
      <c r="CH132" s="631" t="str">
        <f t="shared" ref="CH132:CH141" si="262">IF(AND(BC132=0,BE132=0),"No Prog ni Ejec",IF(BC132=0,CONCATENATE("No Prog, Ejec=  ",BE132),BE132/BC132))</f>
        <v>No Prog ni Ejec</v>
      </c>
      <c r="CI132" s="631" t="str">
        <f t="shared" ref="CI132:CI141" si="263">IF(AND(BK132=0,BN132=0),"No Prog ni Ejec",IF(BK132=0,CONCATENATE("No Prog, Ejec=  ",BN132),BN132/BK132))</f>
        <v>No Prog ni Ejec</v>
      </c>
      <c r="CJ132" s="631" t="str">
        <f t="shared" ref="CJ132:CJ141" si="264">IF(AND(BM132=0,BO132=0),"No Prog ni Ejec",IF(BM132=0,CONCATENATE("No Prog, Ejec=  ",BO132),BO132/BM132))</f>
        <v>No Prog ni Ejec</v>
      </c>
      <c r="CK132" s="631">
        <f t="shared" ref="CK132:CK141" si="265">IF(AND(BU132=0,BX132=0),"No Prog ni Ejec",IF(BU132=0,CONCATENATE("No Prog, Ejec=  ",BX132),BX132/BU132))</f>
        <v>1</v>
      </c>
      <c r="CL132" s="685" t="str">
        <f t="shared" ref="CL132:CL141" si="266">IF(AND(BW132=0,BY132=0),"No Prog ni Ejec",IF(BW132=0,CONCATENATE("No Prog, Ejec=  ",BY132),BY132/BW132))</f>
        <v>No Prog ni Ejec</v>
      </c>
      <c r="CM132" s="127">
        <f t="shared" si="134"/>
        <v>0</v>
      </c>
      <c r="CR132" s="121">
        <v>1</v>
      </c>
      <c r="CS132" s="121"/>
      <c r="CT132" s="121"/>
      <c r="CU132" s="121"/>
      <c r="CV132" s="121"/>
      <c r="CW132" s="121"/>
      <c r="CX132" s="121"/>
      <c r="CY132" s="121"/>
      <c r="CZ132" s="121"/>
      <c r="DA132" s="121"/>
      <c r="DB132" s="121"/>
      <c r="DC132" s="121"/>
    </row>
    <row r="133" spans="1:107" s="69" customFormat="1" ht="112.5" customHeight="1" x14ac:dyDescent="0.2">
      <c r="A133" s="684">
        <v>11700</v>
      </c>
      <c r="B133" s="627" t="s">
        <v>14</v>
      </c>
      <c r="C133" s="627" t="s">
        <v>336</v>
      </c>
      <c r="D133" s="123" t="s">
        <v>1017</v>
      </c>
      <c r="E133" s="123"/>
      <c r="F133" s="123"/>
      <c r="G133" s="123"/>
      <c r="H133" s="123"/>
      <c r="I133" s="123"/>
      <c r="J133" s="123"/>
      <c r="K133" s="123"/>
      <c r="L133" s="123"/>
      <c r="M133" s="123"/>
      <c r="N133" s="123"/>
      <c r="O133" s="123"/>
      <c r="P133" s="123"/>
      <c r="Q133" s="806" t="s">
        <v>1123</v>
      </c>
      <c r="R133" s="627" t="s">
        <v>1129</v>
      </c>
      <c r="S133" s="629" t="s">
        <v>238</v>
      </c>
      <c r="T133" s="627" t="s">
        <v>94</v>
      </c>
      <c r="U133" s="627" t="s">
        <v>204</v>
      </c>
      <c r="V133" s="627" t="s">
        <v>204</v>
      </c>
      <c r="W133" s="629" t="s">
        <v>871</v>
      </c>
      <c r="X133" s="627" t="s">
        <v>1055</v>
      </c>
      <c r="Y133" s="641" t="s">
        <v>390</v>
      </c>
      <c r="Z133" s="66">
        <v>3</v>
      </c>
      <c r="AA133" s="814" t="s">
        <v>862</v>
      </c>
      <c r="AB133" s="806" t="s">
        <v>1054</v>
      </c>
      <c r="AC133" s="810">
        <v>0</v>
      </c>
      <c r="AD133" s="811">
        <v>1</v>
      </c>
      <c r="AE133" s="806" t="s">
        <v>17</v>
      </c>
      <c r="AF133" s="806" t="s">
        <v>295</v>
      </c>
      <c r="AG133" s="806" t="s">
        <v>204</v>
      </c>
      <c r="AH133" s="806" t="s">
        <v>633</v>
      </c>
      <c r="AI133" s="806" t="s">
        <v>1045</v>
      </c>
      <c r="AJ133" s="806" t="s">
        <v>1274</v>
      </c>
      <c r="AK133" s="806" t="s">
        <v>1056</v>
      </c>
      <c r="AL133" s="627" t="s">
        <v>204</v>
      </c>
      <c r="AM133" s="67">
        <v>3</v>
      </c>
      <c r="AN133" s="806" t="str">
        <f t="shared" si="242"/>
        <v>Realizar reuniones de autocontrol y seguimiento a los procesos que evidencien el monitoreo a los riesgos, indicadores, planes de mejoramiento, manuales y documentos asociados</v>
      </c>
      <c r="AO133" s="812">
        <f t="shared" si="242"/>
        <v>0</v>
      </c>
      <c r="AP133" s="836" t="s">
        <v>48</v>
      </c>
      <c r="AQ133" s="67">
        <v>0</v>
      </c>
      <c r="AR133" s="806" t="str">
        <f>+AN133</f>
        <v>Realizar reuniones de autocontrol y seguimiento a los procesos que evidencien el monitoreo a los riesgos, indicadores, planes de mejoramiento, manuales y documentos asociados</v>
      </c>
      <c r="AS133" s="810">
        <f>+AO133/4</f>
        <v>0</v>
      </c>
      <c r="AT133" s="466">
        <v>0</v>
      </c>
      <c r="AU133" s="466">
        <v>0</v>
      </c>
      <c r="AV133" s="807" t="e">
        <f t="shared" si="243"/>
        <v>#DIV/0!</v>
      </c>
      <c r="AW133" s="807" t="e">
        <f t="shared" si="244"/>
        <v>#DIV/0!</v>
      </c>
      <c r="AX133" s="807">
        <f t="shared" si="245"/>
        <v>0</v>
      </c>
      <c r="AY133" s="807" t="e">
        <f t="shared" si="246"/>
        <v>#DIV/0!</v>
      </c>
      <c r="AZ133" s="490" t="s">
        <v>1340</v>
      </c>
      <c r="BA133" s="67">
        <v>1</v>
      </c>
      <c r="BB133" s="806" t="str">
        <f>+AN133</f>
        <v>Realizar reuniones de autocontrol y seguimiento a los procesos que evidencien el monitoreo a los riesgos, indicadores, planes de mejoramiento, manuales y documentos asociados</v>
      </c>
      <c r="BC133" s="810">
        <f>+AO133/4</f>
        <v>0</v>
      </c>
      <c r="BD133" s="817">
        <v>1</v>
      </c>
      <c r="BE133" s="810">
        <v>0</v>
      </c>
      <c r="BF133" s="807">
        <f t="shared" si="247"/>
        <v>1</v>
      </c>
      <c r="BG133" s="807" t="e">
        <f t="shared" si="248"/>
        <v>#DIV/0!</v>
      </c>
      <c r="BH133" s="807">
        <f t="shared" si="249"/>
        <v>0.33333333333333331</v>
      </c>
      <c r="BI133" s="807" t="e">
        <f t="shared" si="250"/>
        <v>#DIV/0!</v>
      </c>
      <c r="BJ133" s="808" t="s">
        <v>1645</v>
      </c>
      <c r="BK133" s="67">
        <v>1</v>
      </c>
      <c r="BL133" s="806" t="str">
        <f>+AN133</f>
        <v>Realizar reuniones de autocontrol y seguimiento a los procesos que evidencien el monitoreo a los riesgos, indicadores, planes de mejoramiento, manuales y documentos asociados</v>
      </c>
      <c r="BM133" s="810">
        <f>+AO133/4</f>
        <v>0</v>
      </c>
      <c r="BN133" s="949">
        <v>1</v>
      </c>
      <c r="BO133" s="946">
        <v>0</v>
      </c>
      <c r="BP133" s="807">
        <f t="shared" si="251"/>
        <v>1</v>
      </c>
      <c r="BQ133" s="807" t="e">
        <f t="shared" si="252"/>
        <v>#DIV/0!</v>
      </c>
      <c r="BR133" s="807">
        <f t="shared" si="253"/>
        <v>0.66666666666666663</v>
      </c>
      <c r="BS133" s="807" t="e">
        <f t="shared" si="254"/>
        <v>#DIV/0!</v>
      </c>
      <c r="BT133" s="948" t="s">
        <v>1917</v>
      </c>
      <c r="BU133" s="67">
        <v>1</v>
      </c>
      <c r="BV133" s="806" t="str">
        <f>+AN133</f>
        <v>Realizar reuniones de autocontrol y seguimiento a los procesos que evidencien el monitoreo a los riesgos, indicadores, planes de mejoramiento, manuales y documentos asociados</v>
      </c>
      <c r="BW133" s="810">
        <f>+AO133/4</f>
        <v>0</v>
      </c>
      <c r="BX133" s="1132">
        <v>1</v>
      </c>
      <c r="BY133" s="1130">
        <v>0</v>
      </c>
      <c r="BZ133" s="805">
        <f t="shared" si="255"/>
        <v>1</v>
      </c>
      <c r="CA133" s="805" t="e">
        <f t="shared" si="256"/>
        <v>#DIV/0!</v>
      </c>
      <c r="CB133" s="805">
        <f t="shared" si="257"/>
        <v>1</v>
      </c>
      <c r="CC133" s="805" t="e">
        <f t="shared" si="258"/>
        <v>#DIV/0!</v>
      </c>
      <c r="CD133" s="682" t="s">
        <v>2074</v>
      </c>
      <c r="CE133" s="631" t="str">
        <f t="shared" si="259"/>
        <v>No Prog ni Ejec</v>
      </c>
      <c r="CF133" s="631" t="str">
        <f t="shared" si="260"/>
        <v>No Prog ni Ejec</v>
      </c>
      <c r="CG133" s="631">
        <f t="shared" si="261"/>
        <v>1</v>
      </c>
      <c r="CH133" s="631" t="str">
        <f t="shared" si="262"/>
        <v>No Prog ni Ejec</v>
      </c>
      <c r="CI133" s="631">
        <f t="shared" si="263"/>
        <v>1</v>
      </c>
      <c r="CJ133" s="631" t="str">
        <f t="shared" si="264"/>
        <v>No Prog ni Ejec</v>
      </c>
      <c r="CK133" s="631">
        <f t="shared" si="265"/>
        <v>1</v>
      </c>
      <c r="CL133" s="685" t="str">
        <f t="shared" si="266"/>
        <v>No Prog ni Ejec</v>
      </c>
      <c r="CM133" s="127">
        <f t="shared" si="134"/>
        <v>0</v>
      </c>
      <c r="CR133" s="121"/>
      <c r="CS133" s="121"/>
      <c r="CT133" s="121"/>
      <c r="CU133" s="121"/>
      <c r="CV133" s="121"/>
      <c r="CW133" s="121"/>
      <c r="CX133" s="121"/>
      <c r="CY133" s="121"/>
      <c r="CZ133" s="121"/>
      <c r="DA133" s="121"/>
      <c r="DB133" s="121"/>
      <c r="DC133" s="121"/>
    </row>
    <row r="134" spans="1:107" s="570" customFormat="1" ht="409.5" hidden="1" x14ac:dyDescent="0.2">
      <c r="A134" s="833">
        <v>11600</v>
      </c>
      <c r="B134" s="829" t="s">
        <v>4</v>
      </c>
      <c r="C134" s="829" t="s">
        <v>330</v>
      </c>
      <c r="D134" s="822"/>
      <c r="E134" s="822" t="s">
        <v>1017</v>
      </c>
      <c r="F134" s="822" t="s">
        <v>1017</v>
      </c>
      <c r="G134" s="822"/>
      <c r="H134" s="822"/>
      <c r="I134" s="822"/>
      <c r="J134" s="822"/>
      <c r="K134" s="822"/>
      <c r="L134" s="822"/>
      <c r="M134" s="822"/>
      <c r="N134" s="822"/>
      <c r="O134" s="822"/>
      <c r="P134" s="822"/>
      <c r="Q134" s="806" t="s">
        <v>204</v>
      </c>
      <c r="R134" s="806" t="s">
        <v>204</v>
      </c>
      <c r="S134" s="814" t="s">
        <v>100</v>
      </c>
      <c r="T134" s="806" t="s">
        <v>94</v>
      </c>
      <c r="U134" s="806" t="s">
        <v>204</v>
      </c>
      <c r="V134" s="806" t="s">
        <v>204</v>
      </c>
      <c r="W134" s="834" t="s">
        <v>105</v>
      </c>
      <c r="X134" s="829" t="s">
        <v>386</v>
      </c>
      <c r="Y134" s="564" t="s">
        <v>51</v>
      </c>
      <c r="Z134" s="566">
        <v>0.9</v>
      </c>
      <c r="AA134" s="834" t="s">
        <v>102</v>
      </c>
      <c r="AB134" s="829" t="s">
        <v>350</v>
      </c>
      <c r="AC134" s="838">
        <f>48960000</f>
        <v>48960000</v>
      </c>
      <c r="AD134" s="811">
        <v>1</v>
      </c>
      <c r="AE134" s="806" t="s">
        <v>17</v>
      </c>
      <c r="AF134" s="806" t="s">
        <v>27</v>
      </c>
      <c r="AG134" s="806" t="s">
        <v>204</v>
      </c>
      <c r="AH134" s="806" t="s">
        <v>633</v>
      </c>
      <c r="AI134" s="806" t="s">
        <v>82</v>
      </c>
      <c r="AJ134" s="806" t="s">
        <v>1273</v>
      </c>
      <c r="AK134" s="829" t="s">
        <v>1298</v>
      </c>
      <c r="AL134" s="806" t="s">
        <v>44</v>
      </c>
      <c r="AM134" s="566">
        <v>0.9</v>
      </c>
      <c r="AN134" s="829" t="str">
        <f t="shared" si="242"/>
        <v>Servicio BPO-Mesa de ayuda</v>
      </c>
      <c r="AO134" s="837">
        <f t="shared" si="242"/>
        <v>48960000</v>
      </c>
      <c r="AP134" s="836" t="s">
        <v>46</v>
      </c>
      <c r="AQ134" s="565">
        <v>0.22500000000000001</v>
      </c>
      <c r="AR134" s="829" t="str">
        <f>+AN134</f>
        <v>Servicio BPO-Mesa de ayuda</v>
      </c>
      <c r="AS134" s="1058">
        <v>22766437.710377403</v>
      </c>
      <c r="AT134" s="578">
        <f>(189/189)*AQ134</f>
        <v>0.22500000000000001</v>
      </c>
      <c r="AU134" s="838">
        <f>952000+4080000+4080000</f>
        <v>9112000</v>
      </c>
      <c r="AV134" s="832">
        <f t="shared" si="243"/>
        <v>1</v>
      </c>
      <c r="AW134" s="832">
        <f t="shared" si="244"/>
        <v>0.40023828566937225</v>
      </c>
      <c r="AX134" s="832">
        <f t="shared" si="245"/>
        <v>0.25</v>
      </c>
      <c r="AY134" s="832">
        <f t="shared" si="246"/>
        <v>0.18611111111111112</v>
      </c>
      <c r="AZ134" s="567" t="s">
        <v>1737</v>
      </c>
      <c r="BA134" s="565">
        <v>0.22500000000000001</v>
      </c>
      <c r="BB134" s="829" t="str">
        <f>+AN134</f>
        <v>Servicio BPO-Mesa de ayuda</v>
      </c>
      <c r="BC134" s="838">
        <f>(AO134-AS134)*0.3</f>
        <v>7858068.686886779</v>
      </c>
      <c r="BD134" s="564"/>
      <c r="BE134" s="835"/>
      <c r="BF134" s="832">
        <f t="shared" si="247"/>
        <v>0</v>
      </c>
      <c r="BG134" s="832">
        <f t="shared" si="248"/>
        <v>0</v>
      </c>
      <c r="BH134" s="832">
        <f t="shared" si="249"/>
        <v>0.25</v>
      </c>
      <c r="BI134" s="832">
        <f t="shared" si="250"/>
        <v>0.18611111111111112</v>
      </c>
      <c r="BJ134" s="675"/>
      <c r="BK134" s="565">
        <v>0.22500000000000001</v>
      </c>
      <c r="BL134" s="829" t="str">
        <f>+AN134</f>
        <v>Servicio BPO-Mesa de ayuda</v>
      </c>
      <c r="BM134" s="838">
        <f>(AO134-AS134)*0.3</f>
        <v>7858068.686886779</v>
      </c>
      <c r="BN134" s="834"/>
      <c r="BO134" s="834"/>
      <c r="BP134" s="832">
        <f t="shared" si="251"/>
        <v>0</v>
      </c>
      <c r="BQ134" s="832">
        <f t="shared" si="252"/>
        <v>0</v>
      </c>
      <c r="BR134" s="832">
        <f t="shared" si="253"/>
        <v>0.25</v>
      </c>
      <c r="BS134" s="832">
        <f t="shared" si="254"/>
        <v>0.18611111111111112</v>
      </c>
      <c r="BT134" s="832"/>
      <c r="BU134" s="565">
        <v>0.22500000000000001</v>
      </c>
      <c r="BV134" s="829" t="str">
        <f>+AN134</f>
        <v>Servicio BPO-Mesa de ayuda</v>
      </c>
      <c r="BW134" s="835">
        <f>(AO134-AS134)*0.3</f>
        <v>7858068.686886779</v>
      </c>
      <c r="BX134" s="834"/>
      <c r="BY134" s="834"/>
      <c r="BZ134" s="839">
        <f t="shared" si="255"/>
        <v>0</v>
      </c>
      <c r="CA134" s="839">
        <f t="shared" si="256"/>
        <v>0</v>
      </c>
      <c r="CB134" s="839">
        <f t="shared" si="257"/>
        <v>0.25</v>
      </c>
      <c r="CC134" s="839">
        <f t="shared" si="258"/>
        <v>0.18611111111111112</v>
      </c>
      <c r="CD134" s="1079" t="s">
        <v>1988</v>
      </c>
      <c r="CE134" s="633">
        <f t="shared" si="259"/>
        <v>1</v>
      </c>
      <c r="CF134" s="633">
        <f t="shared" si="260"/>
        <v>0.40023828566937225</v>
      </c>
      <c r="CG134" s="633">
        <f t="shared" si="261"/>
        <v>0</v>
      </c>
      <c r="CH134" s="633">
        <f t="shared" si="262"/>
        <v>0</v>
      </c>
      <c r="CI134" s="633">
        <f t="shared" si="263"/>
        <v>0</v>
      </c>
      <c r="CJ134" s="633">
        <f t="shared" si="264"/>
        <v>0</v>
      </c>
      <c r="CK134" s="633">
        <f t="shared" si="265"/>
        <v>0</v>
      </c>
      <c r="CL134" s="741">
        <f t="shared" si="266"/>
        <v>0</v>
      </c>
      <c r="CM134" s="569">
        <f t="shared" si="134"/>
        <v>2619356.2289622584</v>
      </c>
      <c r="CR134" s="69"/>
      <c r="CS134" s="69"/>
      <c r="CT134" s="69"/>
      <c r="CU134" s="69"/>
      <c r="CV134" s="69"/>
      <c r="CW134" s="121">
        <v>6</v>
      </c>
      <c r="CX134" s="69"/>
      <c r="CY134" s="69"/>
      <c r="CZ134" s="69"/>
      <c r="DA134" s="69"/>
      <c r="DB134" s="69"/>
      <c r="DC134" s="69"/>
    </row>
    <row r="135" spans="1:107" s="69" customFormat="1" ht="336" customHeight="1" x14ac:dyDescent="0.2">
      <c r="A135" s="813">
        <v>11600</v>
      </c>
      <c r="B135" s="806" t="s">
        <v>4</v>
      </c>
      <c r="C135" s="806" t="s">
        <v>527</v>
      </c>
      <c r="D135" s="822"/>
      <c r="E135" s="822" t="s">
        <v>1017</v>
      </c>
      <c r="F135" s="822" t="s">
        <v>1017</v>
      </c>
      <c r="G135" s="822"/>
      <c r="H135" s="822"/>
      <c r="I135" s="822"/>
      <c r="J135" s="822"/>
      <c r="K135" s="822"/>
      <c r="L135" s="822"/>
      <c r="M135" s="822"/>
      <c r="N135" s="822"/>
      <c r="O135" s="822" t="s">
        <v>1017</v>
      </c>
      <c r="P135" s="822"/>
      <c r="Q135" s="806" t="s">
        <v>204</v>
      </c>
      <c r="R135" s="806" t="s">
        <v>204</v>
      </c>
      <c r="S135" s="814" t="s">
        <v>100</v>
      </c>
      <c r="T135" s="806" t="s">
        <v>94</v>
      </c>
      <c r="U135" s="806" t="s">
        <v>204</v>
      </c>
      <c r="V135" s="806" t="s">
        <v>204</v>
      </c>
      <c r="W135" s="814" t="s">
        <v>106</v>
      </c>
      <c r="X135" s="806" t="s">
        <v>429</v>
      </c>
      <c r="Y135" s="817" t="s">
        <v>51</v>
      </c>
      <c r="Z135" s="156">
        <v>1</v>
      </c>
      <c r="AA135" s="814" t="s">
        <v>103</v>
      </c>
      <c r="AB135" s="806" t="s">
        <v>351</v>
      </c>
      <c r="AC135" s="826">
        <v>203562225</v>
      </c>
      <c r="AD135" s="811">
        <v>1</v>
      </c>
      <c r="AE135" s="806" t="s">
        <v>17</v>
      </c>
      <c r="AF135" s="806" t="s">
        <v>297</v>
      </c>
      <c r="AG135" s="806" t="s">
        <v>204</v>
      </c>
      <c r="AH135" s="806" t="s">
        <v>633</v>
      </c>
      <c r="AI135" s="806" t="s">
        <v>81</v>
      </c>
      <c r="AJ135" s="806" t="s">
        <v>1263</v>
      </c>
      <c r="AK135" s="806" t="s">
        <v>430</v>
      </c>
      <c r="AL135" s="806" t="s">
        <v>44</v>
      </c>
      <c r="AM135" s="158">
        <v>1</v>
      </c>
      <c r="AN135" s="806" t="str">
        <f t="shared" si="242"/>
        <v>Contratar una consultoría para la planeación, diagnóstico, alistamiento, implementación y monitoreo para la adopción del protocolo IPV6.</v>
      </c>
      <c r="AO135" s="812">
        <f>+AC135-7400415</f>
        <v>196161810</v>
      </c>
      <c r="AP135" s="836" t="s">
        <v>46</v>
      </c>
      <c r="AQ135" s="156">
        <v>0</v>
      </c>
      <c r="AR135" s="806" t="str">
        <f>+AN135</f>
        <v>Contratar una consultoría para la planeación, diagnóstico, alistamiento, implementación y monitoreo para la adopción del protocolo IPV6.</v>
      </c>
      <c r="AS135" s="826">
        <f>+AO135*0</f>
        <v>0</v>
      </c>
      <c r="AT135" s="156">
        <v>0</v>
      </c>
      <c r="AU135" s="826">
        <v>0</v>
      </c>
      <c r="AV135" s="807" t="e">
        <f t="shared" si="243"/>
        <v>#DIV/0!</v>
      </c>
      <c r="AW135" s="807" t="e">
        <f t="shared" si="244"/>
        <v>#DIV/0!</v>
      </c>
      <c r="AX135" s="807">
        <f t="shared" si="245"/>
        <v>0</v>
      </c>
      <c r="AY135" s="807">
        <f t="shared" si="246"/>
        <v>0</v>
      </c>
      <c r="AZ135" s="459" t="s">
        <v>1311</v>
      </c>
      <c r="BA135" s="156">
        <v>0</v>
      </c>
      <c r="BB135" s="806" t="str">
        <f>+AN135</f>
        <v>Contratar una consultoría para la planeación, diagnóstico, alistamiento, implementación y monitoreo para la adopción del protocolo IPV6.</v>
      </c>
      <c r="BC135" s="826">
        <f>+AO135*0</f>
        <v>0</v>
      </c>
      <c r="BD135" s="677">
        <v>0</v>
      </c>
      <c r="BE135" s="826">
        <v>0</v>
      </c>
      <c r="BF135" s="807" t="e">
        <f t="shared" si="247"/>
        <v>#DIV/0!</v>
      </c>
      <c r="BG135" s="807" t="e">
        <f t="shared" si="248"/>
        <v>#DIV/0!</v>
      </c>
      <c r="BH135" s="807">
        <f t="shared" si="249"/>
        <v>0</v>
      </c>
      <c r="BI135" s="807">
        <f t="shared" si="250"/>
        <v>0</v>
      </c>
      <c r="BJ135" s="808" t="s">
        <v>1654</v>
      </c>
      <c r="BK135" s="156">
        <v>0</v>
      </c>
      <c r="BL135" s="806" t="str">
        <f>+AN135</f>
        <v>Contratar una consultoría para la planeación, diagnóstico, alistamiento, implementación y monitoreo para la adopción del protocolo IPV6.</v>
      </c>
      <c r="BM135" s="826">
        <f>+AO135*0.1</f>
        <v>19616181</v>
      </c>
      <c r="BN135" s="913">
        <v>0</v>
      </c>
      <c r="BO135" s="911">
        <v>19616181</v>
      </c>
      <c r="BP135" s="807" t="e">
        <f t="shared" si="251"/>
        <v>#DIV/0!</v>
      </c>
      <c r="BQ135" s="807">
        <f t="shared" si="252"/>
        <v>1</v>
      </c>
      <c r="BR135" s="807">
        <f t="shared" si="253"/>
        <v>0</v>
      </c>
      <c r="BS135" s="807">
        <f t="shared" si="254"/>
        <v>0.1</v>
      </c>
      <c r="BT135" s="459" t="s">
        <v>1814</v>
      </c>
      <c r="BU135" s="156">
        <v>1</v>
      </c>
      <c r="BV135" s="806" t="str">
        <f>+AN135</f>
        <v>Contratar una consultoría para la planeación, diagnóstico, alistamiento, implementación y monitoreo para la adopción del protocolo IPV6.</v>
      </c>
      <c r="BW135" s="826">
        <f>+AO135*0.9</f>
        <v>176545629</v>
      </c>
      <c r="BX135" s="156">
        <f>4/4</f>
        <v>1</v>
      </c>
      <c r="BY135" s="1055">
        <f>78464724+98080905</f>
        <v>176545629</v>
      </c>
      <c r="BZ135" s="805">
        <f t="shared" si="255"/>
        <v>1</v>
      </c>
      <c r="CA135" s="805">
        <f t="shared" si="256"/>
        <v>1</v>
      </c>
      <c r="CB135" s="805">
        <f t="shared" si="257"/>
        <v>1</v>
      </c>
      <c r="CC135" s="805">
        <f t="shared" si="258"/>
        <v>1</v>
      </c>
      <c r="CD135" s="1059" t="s">
        <v>1971</v>
      </c>
      <c r="CE135" s="631" t="str">
        <f t="shared" si="259"/>
        <v>No Prog ni Ejec</v>
      </c>
      <c r="CF135" s="631" t="str">
        <f t="shared" si="260"/>
        <v>No Prog ni Ejec</v>
      </c>
      <c r="CG135" s="631" t="str">
        <f t="shared" si="261"/>
        <v>No Prog ni Ejec</v>
      </c>
      <c r="CH135" s="631" t="str">
        <f t="shared" si="262"/>
        <v>No Prog ni Ejec</v>
      </c>
      <c r="CI135" s="631" t="str">
        <f t="shared" si="263"/>
        <v>No Prog ni Ejec</v>
      </c>
      <c r="CJ135" s="631">
        <f t="shared" si="264"/>
        <v>1</v>
      </c>
      <c r="CK135" s="631">
        <f t="shared" si="265"/>
        <v>1</v>
      </c>
      <c r="CL135" s="685">
        <f t="shared" si="266"/>
        <v>1</v>
      </c>
      <c r="CM135" s="127">
        <f t="shared" si="134"/>
        <v>7400415</v>
      </c>
      <c r="CT135" s="121">
        <v>3</v>
      </c>
    </row>
    <row r="136" spans="1:107" s="570" customFormat="1" ht="111" hidden="1" customHeight="1" x14ac:dyDescent="0.2">
      <c r="A136" s="833">
        <v>11600</v>
      </c>
      <c r="B136" s="829" t="s">
        <v>4</v>
      </c>
      <c r="C136" s="829" t="s">
        <v>527</v>
      </c>
      <c r="D136" s="822"/>
      <c r="E136" s="822" t="s">
        <v>1017</v>
      </c>
      <c r="F136" s="822" t="s">
        <v>1017</v>
      </c>
      <c r="G136" s="822"/>
      <c r="H136" s="822"/>
      <c r="I136" s="822"/>
      <c r="J136" s="822"/>
      <c r="K136" s="822"/>
      <c r="L136" s="822"/>
      <c r="M136" s="822"/>
      <c r="N136" s="822"/>
      <c r="O136" s="822" t="s">
        <v>1017</v>
      </c>
      <c r="P136" s="822"/>
      <c r="Q136" s="806" t="s">
        <v>204</v>
      </c>
      <c r="R136" s="806" t="s">
        <v>204</v>
      </c>
      <c r="S136" s="814" t="s">
        <v>100</v>
      </c>
      <c r="T136" s="806" t="s">
        <v>94</v>
      </c>
      <c r="U136" s="806" t="s">
        <v>204</v>
      </c>
      <c r="V136" s="806" t="s">
        <v>204</v>
      </c>
      <c r="W136" s="834" t="s">
        <v>1107</v>
      </c>
      <c r="X136" s="829" t="s">
        <v>431</v>
      </c>
      <c r="Y136" s="845" t="s">
        <v>390</v>
      </c>
      <c r="Z136" s="563">
        <v>1</v>
      </c>
      <c r="AA136" s="1346" t="s">
        <v>1096</v>
      </c>
      <c r="AB136" s="1375" t="s">
        <v>352</v>
      </c>
      <c r="AC136" s="838">
        <v>84770477.298000008</v>
      </c>
      <c r="AD136" s="811">
        <v>1</v>
      </c>
      <c r="AE136" s="806" t="s">
        <v>17</v>
      </c>
      <c r="AF136" s="806" t="s">
        <v>297</v>
      </c>
      <c r="AG136" s="806" t="s">
        <v>204</v>
      </c>
      <c r="AH136" s="806" t="s">
        <v>633</v>
      </c>
      <c r="AI136" s="806" t="s">
        <v>81</v>
      </c>
      <c r="AJ136" s="1201" t="s">
        <v>1263</v>
      </c>
      <c r="AK136" s="829" t="s">
        <v>426</v>
      </c>
      <c r="AL136" s="806" t="s">
        <v>44</v>
      </c>
      <c r="AM136" s="563">
        <v>1</v>
      </c>
      <c r="AN136" s="1337" t="str">
        <f t="shared" si="242"/>
        <v>Contratar la prestación de servicios técnicos para realizar análisis de vulnerabilidades, Ethical Hacking y pruebas de Ingeniería Social</v>
      </c>
      <c r="AO136" s="837">
        <f t="shared" si="242"/>
        <v>84770477.298000008</v>
      </c>
      <c r="AP136" s="836" t="s">
        <v>46</v>
      </c>
      <c r="AQ136" s="563">
        <v>0</v>
      </c>
      <c r="AR136" s="1337" t="str">
        <f>+AN136</f>
        <v>Contratar la prestación de servicios técnicos para realizar análisis de vulnerabilidades, Ethical Hacking y pruebas de Ingeniería Social</v>
      </c>
      <c r="AS136" s="838">
        <f>+AO136*0</f>
        <v>0</v>
      </c>
      <c r="AT136" s="834">
        <v>0</v>
      </c>
      <c r="AU136" s="838">
        <v>0</v>
      </c>
      <c r="AV136" s="832" t="e">
        <f t="shared" si="243"/>
        <v>#DIV/0!</v>
      </c>
      <c r="AW136" s="832" t="e">
        <f t="shared" si="244"/>
        <v>#DIV/0!</v>
      </c>
      <c r="AX136" s="832">
        <f t="shared" si="245"/>
        <v>0</v>
      </c>
      <c r="AY136" s="832">
        <f t="shared" si="246"/>
        <v>0</v>
      </c>
      <c r="AZ136" s="567" t="s">
        <v>1311</v>
      </c>
      <c r="BA136" s="563">
        <v>0</v>
      </c>
      <c r="BB136" s="1337" t="str">
        <f>+AN136</f>
        <v>Contratar la prestación de servicios técnicos para realizar análisis de vulnerabilidades, Ethical Hacking y pruebas de Ingeniería Social</v>
      </c>
      <c r="BC136" s="838">
        <f>+AO136*0.25</f>
        <v>21192619.324500002</v>
      </c>
      <c r="BD136" s="564"/>
      <c r="BE136" s="835"/>
      <c r="BF136" s="832" t="e">
        <f t="shared" si="247"/>
        <v>#DIV/0!</v>
      </c>
      <c r="BG136" s="832">
        <f t="shared" si="248"/>
        <v>0</v>
      </c>
      <c r="BH136" s="832">
        <f t="shared" si="249"/>
        <v>0</v>
      </c>
      <c r="BI136" s="832">
        <f t="shared" si="250"/>
        <v>0</v>
      </c>
      <c r="BJ136" s="675"/>
      <c r="BK136" s="563">
        <v>0</v>
      </c>
      <c r="BL136" s="1337" t="str">
        <f>+AN136</f>
        <v>Contratar la prestación de servicios técnicos para realizar análisis de vulnerabilidades, Ethical Hacking y pruebas de Ingeniería Social</v>
      </c>
      <c r="BM136" s="838">
        <f>+AO136*0.75</f>
        <v>63577857.973500006</v>
      </c>
      <c r="BN136" s="834"/>
      <c r="BO136" s="834"/>
      <c r="BP136" s="832" t="e">
        <f t="shared" si="251"/>
        <v>#DIV/0!</v>
      </c>
      <c r="BQ136" s="832">
        <f t="shared" si="252"/>
        <v>0</v>
      </c>
      <c r="BR136" s="832">
        <f t="shared" si="253"/>
        <v>0</v>
      </c>
      <c r="BS136" s="832">
        <f t="shared" si="254"/>
        <v>0</v>
      </c>
      <c r="BT136" s="832"/>
      <c r="BU136" s="563">
        <v>1</v>
      </c>
      <c r="BV136" s="1337" t="str">
        <f>+AN136</f>
        <v>Contratar la prestación de servicios técnicos para realizar análisis de vulnerabilidades, Ethical Hacking y pruebas de Ingeniería Social</v>
      </c>
      <c r="BW136" s="838">
        <f>+AO136*0</f>
        <v>0</v>
      </c>
      <c r="BX136" s="834"/>
      <c r="BY136" s="834"/>
      <c r="BZ136" s="839">
        <f t="shared" si="255"/>
        <v>0</v>
      </c>
      <c r="CA136" s="839" t="e">
        <f t="shared" si="256"/>
        <v>#DIV/0!</v>
      </c>
      <c r="CB136" s="839">
        <f t="shared" si="257"/>
        <v>0</v>
      </c>
      <c r="CC136" s="839">
        <f t="shared" si="258"/>
        <v>0</v>
      </c>
      <c r="CD136" s="839"/>
      <c r="CE136" s="633" t="str">
        <f t="shared" si="259"/>
        <v>No Prog ni Ejec</v>
      </c>
      <c r="CF136" s="633" t="str">
        <f t="shared" si="260"/>
        <v>No Prog ni Ejec</v>
      </c>
      <c r="CG136" s="633" t="str">
        <f t="shared" si="261"/>
        <v>No Prog ni Ejec</v>
      </c>
      <c r="CH136" s="633">
        <f t="shared" si="262"/>
        <v>0</v>
      </c>
      <c r="CI136" s="633" t="str">
        <f t="shared" si="263"/>
        <v>No Prog ni Ejec</v>
      </c>
      <c r="CJ136" s="633">
        <f t="shared" si="264"/>
        <v>0</v>
      </c>
      <c r="CK136" s="633">
        <f t="shared" si="265"/>
        <v>0</v>
      </c>
      <c r="CL136" s="741" t="str">
        <f t="shared" si="266"/>
        <v>No Prog ni Ejec</v>
      </c>
      <c r="CM136" s="569">
        <f t="shared" si="134"/>
        <v>0</v>
      </c>
      <c r="CR136" s="69"/>
      <c r="CS136" s="69"/>
      <c r="CT136" s="121">
        <v>3</v>
      </c>
      <c r="CU136" s="69"/>
      <c r="CV136" s="69"/>
      <c r="CW136" s="69"/>
      <c r="CX136" s="69"/>
      <c r="CY136" s="69"/>
      <c r="CZ136" s="69"/>
      <c r="DA136" s="69"/>
      <c r="DB136" s="69"/>
      <c r="DC136" s="69"/>
    </row>
    <row r="137" spans="1:107" s="570" customFormat="1" ht="111" hidden="1" customHeight="1" x14ac:dyDescent="0.2">
      <c r="A137" s="833">
        <v>11600</v>
      </c>
      <c r="B137" s="829" t="s">
        <v>4</v>
      </c>
      <c r="C137" s="829" t="s">
        <v>527</v>
      </c>
      <c r="D137" s="822"/>
      <c r="E137" s="822" t="s">
        <v>1017</v>
      </c>
      <c r="F137" s="822" t="s">
        <v>1017</v>
      </c>
      <c r="G137" s="822"/>
      <c r="H137" s="822"/>
      <c r="I137" s="822"/>
      <c r="J137" s="822"/>
      <c r="K137" s="822"/>
      <c r="L137" s="822"/>
      <c r="M137" s="822"/>
      <c r="N137" s="822"/>
      <c r="O137" s="822" t="s">
        <v>1017</v>
      </c>
      <c r="P137" s="822"/>
      <c r="Q137" s="806" t="s">
        <v>204</v>
      </c>
      <c r="R137" s="806" t="s">
        <v>204</v>
      </c>
      <c r="S137" s="814" t="s">
        <v>100</v>
      </c>
      <c r="T137" s="806" t="s">
        <v>94</v>
      </c>
      <c r="U137" s="806" t="s">
        <v>204</v>
      </c>
      <c r="V137" s="806" t="s">
        <v>204</v>
      </c>
      <c r="W137" s="834" t="s">
        <v>1138</v>
      </c>
      <c r="X137" s="829" t="s">
        <v>1140</v>
      </c>
      <c r="Y137" s="564" t="s">
        <v>51</v>
      </c>
      <c r="Z137" s="565">
        <v>0.8</v>
      </c>
      <c r="AA137" s="1346"/>
      <c r="AB137" s="1337"/>
      <c r="AC137" s="838">
        <v>0</v>
      </c>
      <c r="AD137" s="811">
        <v>1</v>
      </c>
      <c r="AE137" s="806" t="s">
        <v>17</v>
      </c>
      <c r="AF137" s="806" t="s">
        <v>297</v>
      </c>
      <c r="AG137" s="806" t="s">
        <v>204</v>
      </c>
      <c r="AH137" s="806" t="s">
        <v>633</v>
      </c>
      <c r="AI137" s="806" t="s">
        <v>81</v>
      </c>
      <c r="AJ137" s="1201"/>
      <c r="AK137" s="829" t="s">
        <v>1139</v>
      </c>
      <c r="AL137" s="806" t="s">
        <v>44</v>
      </c>
      <c r="AM137" s="566">
        <v>0.8</v>
      </c>
      <c r="AN137" s="1337"/>
      <c r="AO137" s="837">
        <f t="shared" ref="AO137:AO145" si="267">+AC137</f>
        <v>0</v>
      </c>
      <c r="AP137" s="836" t="s">
        <v>46</v>
      </c>
      <c r="AQ137" s="566">
        <v>0.2</v>
      </c>
      <c r="AR137" s="1337"/>
      <c r="AS137" s="838">
        <v>0</v>
      </c>
      <c r="AT137" s="566">
        <f>6/30</f>
        <v>0.2</v>
      </c>
      <c r="AU137" s="838">
        <v>0</v>
      </c>
      <c r="AV137" s="832">
        <f t="shared" si="243"/>
        <v>1</v>
      </c>
      <c r="AW137" s="832" t="e">
        <f t="shared" si="244"/>
        <v>#DIV/0!</v>
      </c>
      <c r="AX137" s="832">
        <f t="shared" si="245"/>
        <v>0.25</v>
      </c>
      <c r="AY137" s="832" t="e">
        <f t="shared" si="246"/>
        <v>#DIV/0!</v>
      </c>
      <c r="AZ137" s="567" t="s">
        <v>1378</v>
      </c>
      <c r="BA137" s="566">
        <v>0.2</v>
      </c>
      <c r="BB137" s="1337"/>
      <c r="BC137" s="838">
        <v>0</v>
      </c>
      <c r="BD137" s="564"/>
      <c r="BE137" s="835"/>
      <c r="BF137" s="832">
        <f t="shared" si="247"/>
        <v>0</v>
      </c>
      <c r="BG137" s="832" t="e">
        <f t="shared" si="248"/>
        <v>#DIV/0!</v>
      </c>
      <c r="BH137" s="832">
        <f t="shared" si="249"/>
        <v>0.25</v>
      </c>
      <c r="BI137" s="832" t="e">
        <f t="shared" si="250"/>
        <v>#DIV/0!</v>
      </c>
      <c r="BJ137" s="675"/>
      <c r="BK137" s="566">
        <v>0.2</v>
      </c>
      <c r="BL137" s="1337"/>
      <c r="BM137" s="838">
        <v>0</v>
      </c>
      <c r="BN137" s="834"/>
      <c r="BO137" s="834"/>
      <c r="BP137" s="832">
        <f t="shared" si="251"/>
        <v>0</v>
      </c>
      <c r="BQ137" s="832" t="e">
        <f t="shared" si="252"/>
        <v>#DIV/0!</v>
      </c>
      <c r="BR137" s="832">
        <f t="shared" si="253"/>
        <v>0.25</v>
      </c>
      <c r="BS137" s="832" t="e">
        <f t="shared" si="254"/>
        <v>#DIV/0!</v>
      </c>
      <c r="BT137" s="832"/>
      <c r="BU137" s="566">
        <v>0.2</v>
      </c>
      <c r="BV137" s="1337"/>
      <c r="BW137" s="838">
        <v>0</v>
      </c>
      <c r="BX137" s="834"/>
      <c r="BY137" s="834"/>
      <c r="BZ137" s="839">
        <f t="shared" si="255"/>
        <v>0</v>
      </c>
      <c r="CA137" s="839" t="e">
        <f t="shared" si="256"/>
        <v>#DIV/0!</v>
      </c>
      <c r="CB137" s="839">
        <f t="shared" si="257"/>
        <v>0.25</v>
      </c>
      <c r="CC137" s="839" t="e">
        <f t="shared" si="258"/>
        <v>#DIV/0!</v>
      </c>
      <c r="CD137" s="839"/>
      <c r="CE137" s="633">
        <f t="shared" si="259"/>
        <v>1</v>
      </c>
      <c r="CF137" s="633" t="str">
        <f t="shared" si="260"/>
        <v>No Prog ni Ejec</v>
      </c>
      <c r="CG137" s="633">
        <f t="shared" si="261"/>
        <v>0</v>
      </c>
      <c r="CH137" s="633" t="str">
        <f t="shared" si="262"/>
        <v>No Prog ni Ejec</v>
      </c>
      <c r="CI137" s="633">
        <f t="shared" si="263"/>
        <v>0</v>
      </c>
      <c r="CJ137" s="633" t="str">
        <f t="shared" si="264"/>
        <v>No Prog ni Ejec</v>
      </c>
      <c r="CK137" s="633">
        <f t="shared" si="265"/>
        <v>0</v>
      </c>
      <c r="CL137" s="741" t="str">
        <f t="shared" si="266"/>
        <v>No Prog ni Ejec</v>
      </c>
      <c r="CM137" s="569"/>
      <c r="CR137" s="69"/>
      <c r="CS137" s="69"/>
      <c r="CT137" s="121"/>
      <c r="CU137" s="69"/>
      <c r="CV137" s="69"/>
      <c r="CW137" s="69"/>
      <c r="CX137" s="69"/>
      <c r="CY137" s="69"/>
      <c r="CZ137" s="69"/>
      <c r="DA137" s="69"/>
      <c r="DB137" s="69"/>
      <c r="DC137" s="69"/>
    </row>
    <row r="138" spans="1:107" s="69" customFormat="1" ht="114.75" hidden="1" customHeight="1" x14ac:dyDescent="0.2">
      <c r="A138" s="742">
        <v>11600</v>
      </c>
      <c r="B138" s="998" t="s">
        <v>4</v>
      </c>
      <c r="C138" s="998" t="s">
        <v>330</v>
      </c>
      <c r="D138" s="857"/>
      <c r="E138" s="857" t="s">
        <v>1017</v>
      </c>
      <c r="F138" s="857" t="s">
        <v>1017</v>
      </c>
      <c r="G138" s="857"/>
      <c r="H138" s="857"/>
      <c r="I138" s="857"/>
      <c r="J138" s="857"/>
      <c r="K138" s="857"/>
      <c r="L138" s="857"/>
      <c r="M138" s="857"/>
      <c r="N138" s="857"/>
      <c r="O138" s="857"/>
      <c r="P138" s="857"/>
      <c r="Q138" s="998" t="s">
        <v>204</v>
      </c>
      <c r="R138" s="998" t="s">
        <v>204</v>
      </c>
      <c r="S138" s="997" t="s">
        <v>100</v>
      </c>
      <c r="T138" s="998" t="s">
        <v>94</v>
      </c>
      <c r="U138" s="998" t="s">
        <v>204</v>
      </c>
      <c r="V138" s="998" t="s">
        <v>204</v>
      </c>
      <c r="W138" s="997" t="s">
        <v>1108</v>
      </c>
      <c r="X138" s="998" t="s">
        <v>403</v>
      </c>
      <c r="Y138" s="613" t="s">
        <v>51</v>
      </c>
      <c r="Z138" s="1036">
        <v>1</v>
      </c>
      <c r="AA138" s="997" t="s">
        <v>1097</v>
      </c>
      <c r="AB138" s="998" t="s">
        <v>353</v>
      </c>
      <c r="AC138" s="1037">
        <v>0</v>
      </c>
      <c r="AD138" s="858">
        <v>1</v>
      </c>
      <c r="AE138" s="998" t="s">
        <v>17</v>
      </c>
      <c r="AF138" s="998" t="s">
        <v>27</v>
      </c>
      <c r="AG138" s="998" t="s">
        <v>204</v>
      </c>
      <c r="AH138" s="998" t="s">
        <v>633</v>
      </c>
      <c r="AI138" s="998" t="s">
        <v>82</v>
      </c>
      <c r="AJ138" s="998" t="s">
        <v>1263</v>
      </c>
      <c r="AK138" s="998" t="s">
        <v>405</v>
      </c>
      <c r="AL138" s="998" t="s">
        <v>44</v>
      </c>
      <c r="AM138" s="1038">
        <v>1</v>
      </c>
      <c r="AN138" s="998" t="str">
        <f>+AB138</f>
        <v>Implementación de los diferentes flujos de correspondencia, que incluya impresión de stickers, firma digital de documentos, estampado cronológico, reconocimiento OCR e integración con los flujos de PQRSD y Tutelas</v>
      </c>
      <c r="AO138" s="1003">
        <f t="shared" si="267"/>
        <v>0</v>
      </c>
      <c r="AP138" s="999" t="s">
        <v>46</v>
      </c>
      <c r="AQ138" s="1036">
        <v>0</v>
      </c>
      <c r="AR138" s="998" t="str">
        <f t="shared" ref="AR138:AR151" si="268">+AN138</f>
        <v>Implementación de los diferentes flujos de correspondencia, que incluya impresión de stickers, firma digital de documentos, estampado cronológico, reconocimiento OCR e integración con los flujos de PQRSD y Tutelas</v>
      </c>
      <c r="AS138" s="1037">
        <v>0</v>
      </c>
      <c r="AT138" s="1036">
        <v>0</v>
      </c>
      <c r="AU138" s="1037">
        <v>0</v>
      </c>
      <c r="AV138" s="1001" t="e">
        <f t="shared" si="243"/>
        <v>#DIV/0!</v>
      </c>
      <c r="AW138" s="1001" t="e">
        <f t="shared" si="244"/>
        <v>#DIV/0!</v>
      </c>
      <c r="AX138" s="1001">
        <f t="shared" si="245"/>
        <v>0</v>
      </c>
      <c r="AY138" s="1001" t="e">
        <f t="shared" si="246"/>
        <v>#DIV/0!</v>
      </c>
      <c r="AZ138" s="1039" t="s">
        <v>1311</v>
      </c>
      <c r="BA138" s="1036">
        <v>0</v>
      </c>
      <c r="BB138" s="998" t="str">
        <f t="shared" ref="BB138:BB145" si="269">+AN138</f>
        <v>Implementación de los diferentes flujos de correspondencia, que incluya impresión de stickers, firma digital de documentos, estampado cronológico, reconocimiento OCR e integración con los flujos de PQRSD y Tutelas</v>
      </c>
      <c r="BC138" s="1037">
        <v>0</v>
      </c>
      <c r="BD138" s="1040">
        <v>0</v>
      </c>
      <c r="BE138" s="1037">
        <v>0</v>
      </c>
      <c r="BF138" s="1001" t="e">
        <f t="shared" si="247"/>
        <v>#DIV/0!</v>
      </c>
      <c r="BG138" s="1001" t="e">
        <f t="shared" si="248"/>
        <v>#DIV/0!</v>
      </c>
      <c r="BH138" s="1001">
        <f t="shared" si="249"/>
        <v>0</v>
      </c>
      <c r="BI138" s="1001" t="e">
        <f t="shared" si="250"/>
        <v>#DIV/0!</v>
      </c>
      <c r="BJ138" s="859" t="s">
        <v>1654</v>
      </c>
      <c r="BK138" s="1036">
        <f>0/5</f>
        <v>0</v>
      </c>
      <c r="BL138" s="998" t="str">
        <f t="shared" ref="BL138:BL151" si="270">+AN138</f>
        <v>Implementación de los diferentes flujos de correspondencia, que incluya impresión de stickers, firma digital de documentos, estampado cronológico, reconocimiento OCR e integración con los flujos de PQRSD y Tutelas</v>
      </c>
      <c r="BM138" s="1037">
        <v>0</v>
      </c>
      <c r="BN138" s="858">
        <v>0</v>
      </c>
      <c r="BO138" s="1002">
        <v>0</v>
      </c>
      <c r="BP138" s="1001" t="e">
        <f t="shared" si="251"/>
        <v>#DIV/0!</v>
      </c>
      <c r="BQ138" s="1001" t="e">
        <f t="shared" si="252"/>
        <v>#DIV/0!</v>
      </c>
      <c r="BR138" s="1001">
        <f t="shared" si="253"/>
        <v>0</v>
      </c>
      <c r="BS138" s="1158" t="e">
        <f>+(BE138+AU138+BO138)/AO138</f>
        <v>#DIV/0!</v>
      </c>
      <c r="BT138" s="1039" t="s">
        <v>1815</v>
      </c>
      <c r="BU138" s="1038">
        <v>1</v>
      </c>
      <c r="BV138" s="998" t="str">
        <f t="shared" ref="BV138:BV151" si="271">+AN138</f>
        <v>Implementación de los diferentes flujos de correspondencia, que incluya impresión de stickers, firma digital de documentos, estampado cronológico, reconocimiento OCR e integración con los flujos de PQRSD y Tutelas</v>
      </c>
      <c r="BW138" s="1037">
        <v>0</v>
      </c>
      <c r="BX138" s="997"/>
      <c r="BY138" s="997"/>
      <c r="BZ138" s="1000">
        <f t="shared" si="255"/>
        <v>0</v>
      </c>
      <c r="CA138" s="1000" t="e">
        <f t="shared" si="256"/>
        <v>#DIV/0!</v>
      </c>
      <c r="CB138" s="1000">
        <f t="shared" si="257"/>
        <v>0</v>
      </c>
      <c r="CC138" s="1000" t="e">
        <f t="shared" si="258"/>
        <v>#DIV/0!</v>
      </c>
      <c r="CD138" s="1080" t="s">
        <v>1992</v>
      </c>
      <c r="CE138" s="631" t="str">
        <f t="shared" si="259"/>
        <v>No Prog ni Ejec</v>
      </c>
      <c r="CF138" s="631" t="str">
        <f t="shared" si="260"/>
        <v>No Prog ni Ejec</v>
      </c>
      <c r="CG138" s="631" t="str">
        <f t="shared" si="261"/>
        <v>No Prog ni Ejec</v>
      </c>
      <c r="CH138" s="631" t="str">
        <f t="shared" si="262"/>
        <v>No Prog ni Ejec</v>
      </c>
      <c r="CI138" s="631" t="str">
        <f t="shared" si="263"/>
        <v>No Prog ni Ejec</v>
      </c>
      <c r="CJ138" s="631" t="str">
        <f t="shared" si="264"/>
        <v>No Prog ni Ejec</v>
      </c>
      <c r="CK138" s="631">
        <f t="shared" si="265"/>
        <v>0</v>
      </c>
      <c r="CL138" s="685" t="str">
        <f t="shared" si="266"/>
        <v>No Prog ni Ejec</v>
      </c>
      <c r="CM138" s="127">
        <f t="shared" ref="CM138:CM179" si="272">+AC138-AS138-BC138-BM138-BW138</f>
        <v>0</v>
      </c>
      <c r="CW138" s="121">
        <v>6</v>
      </c>
    </row>
    <row r="139" spans="1:107" s="69" customFormat="1" ht="342" customHeight="1" x14ac:dyDescent="0.2">
      <c r="A139" s="813">
        <v>11600</v>
      </c>
      <c r="B139" s="806" t="s">
        <v>4</v>
      </c>
      <c r="C139" s="806" t="s">
        <v>331</v>
      </c>
      <c r="D139" s="822"/>
      <c r="E139" s="822"/>
      <c r="F139" s="822" t="s">
        <v>1017</v>
      </c>
      <c r="G139" s="822"/>
      <c r="H139" s="822"/>
      <c r="I139" s="822"/>
      <c r="J139" s="822"/>
      <c r="K139" s="822"/>
      <c r="L139" s="822"/>
      <c r="M139" s="822"/>
      <c r="N139" s="822" t="s">
        <v>1017</v>
      </c>
      <c r="O139" s="822"/>
      <c r="P139" s="822"/>
      <c r="Q139" s="806" t="s">
        <v>204</v>
      </c>
      <c r="R139" s="806" t="s">
        <v>204</v>
      </c>
      <c r="S139" s="814" t="s">
        <v>100</v>
      </c>
      <c r="T139" s="806" t="s">
        <v>94</v>
      </c>
      <c r="U139" s="806" t="s">
        <v>204</v>
      </c>
      <c r="V139" s="806" t="s">
        <v>204</v>
      </c>
      <c r="W139" s="814" t="s">
        <v>1109</v>
      </c>
      <c r="X139" s="806" t="s">
        <v>1099</v>
      </c>
      <c r="Y139" s="822" t="s">
        <v>390</v>
      </c>
      <c r="Z139" s="95">
        <v>1</v>
      </c>
      <c r="AA139" s="814" t="s">
        <v>1098</v>
      </c>
      <c r="AB139" s="806" t="s">
        <v>355</v>
      </c>
      <c r="AC139" s="826">
        <v>114975000</v>
      </c>
      <c r="AD139" s="811">
        <v>1</v>
      </c>
      <c r="AE139" s="806" t="s">
        <v>20</v>
      </c>
      <c r="AF139" s="806" t="s">
        <v>22</v>
      </c>
      <c r="AG139" s="806" t="s">
        <v>204</v>
      </c>
      <c r="AH139" s="806" t="s">
        <v>633</v>
      </c>
      <c r="AI139" s="806" t="s">
        <v>81</v>
      </c>
      <c r="AJ139" s="806" t="s">
        <v>204</v>
      </c>
      <c r="AK139" s="806" t="s">
        <v>1141</v>
      </c>
      <c r="AL139" s="806" t="s">
        <v>44</v>
      </c>
      <c r="AM139" s="95">
        <v>1</v>
      </c>
      <c r="AN139" s="806" t="str">
        <f>+AB139</f>
        <v>Estructuración y elaboración del Plan Estratégico de TI</v>
      </c>
      <c r="AO139" s="1055">
        <f t="shared" si="267"/>
        <v>114975000</v>
      </c>
      <c r="AP139" s="836" t="s">
        <v>46</v>
      </c>
      <c r="AQ139" s="159">
        <f>0/3</f>
        <v>0</v>
      </c>
      <c r="AR139" s="806" t="str">
        <f t="shared" si="268"/>
        <v>Estructuración y elaboración del Plan Estratégico de TI</v>
      </c>
      <c r="AS139" s="826">
        <f>+AO139*0</f>
        <v>0</v>
      </c>
      <c r="AT139" s="814">
        <v>0</v>
      </c>
      <c r="AU139" s="826">
        <v>0</v>
      </c>
      <c r="AV139" s="807" t="e">
        <f t="shared" si="243"/>
        <v>#DIV/0!</v>
      </c>
      <c r="AW139" s="807" t="e">
        <f t="shared" si="244"/>
        <v>#DIV/0!</v>
      </c>
      <c r="AX139" s="807">
        <f t="shared" si="245"/>
        <v>0</v>
      </c>
      <c r="AY139" s="807">
        <f t="shared" si="246"/>
        <v>0</v>
      </c>
      <c r="AZ139" s="459" t="s">
        <v>1311</v>
      </c>
      <c r="BA139" s="159">
        <f>0/3</f>
        <v>0</v>
      </c>
      <c r="BB139" s="806" t="str">
        <f t="shared" si="269"/>
        <v>Estructuración y elaboración del Plan Estratégico de TI</v>
      </c>
      <c r="BC139" s="826">
        <v>0</v>
      </c>
      <c r="BD139" s="729">
        <v>0</v>
      </c>
      <c r="BE139" s="826">
        <v>0</v>
      </c>
      <c r="BF139" s="807" t="e">
        <f t="shared" si="247"/>
        <v>#DIV/0!</v>
      </c>
      <c r="BG139" s="807" t="e">
        <f t="shared" si="248"/>
        <v>#DIV/0!</v>
      </c>
      <c r="BH139" s="807">
        <f t="shared" si="249"/>
        <v>0</v>
      </c>
      <c r="BI139" s="807">
        <f t="shared" si="250"/>
        <v>0</v>
      </c>
      <c r="BJ139" s="808" t="s">
        <v>1654</v>
      </c>
      <c r="BK139" s="159">
        <v>0</v>
      </c>
      <c r="BL139" s="806" t="str">
        <f t="shared" si="270"/>
        <v>Estructuración y elaboración del Plan Estratégico de TI</v>
      </c>
      <c r="BM139" s="826">
        <f>+AC139*0.67</f>
        <v>77033250</v>
      </c>
      <c r="BN139" s="814">
        <v>0</v>
      </c>
      <c r="BO139" s="911">
        <v>7647000</v>
      </c>
      <c r="BP139" s="807" t="e">
        <f t="shared" si="251"/>
        <v>#DIV/0!</v>
      </c>
      <c r="BQ139" s="807">
        <f t="shared" si="252"/>
        <v>9.9268822229361994E-2</v>
      </c>
      <c r="BR139" s="807">
        <f t="shared" si="253"/>
        <v>0</v>
      </c>
      <c r="BS139" s="807">
        <f t="shared" si="254"/>
        <v>6.6510110893672536E-2</v>
      </c>
      <c r="BT139" s="459" t="s">
        <v>1816</v>
      </c>
      <c r="BU139" s="159">
        <v>1</v>
      </c>
      <c r="BV139" s="806" t="str">
        <f t="shared" si="271"/>
        <v>Estructuración y elaboración del Plan Estratégico de TI</v>
      </c>
      <c r="BW139" s="826">
        <f>+AC139*0.33</f>
        <v>37941750</v>
      </c>
      <c r="BX139" s="1056">
        <v>1</v>
      </c>
      <c r="BY139" s="1057">
        <f>(12495000+12495000+12495000)+(10500000+10500000+10500000)</f>
        <v>68985000</v>
      </c>
      <c r="BZ139" s="805">
        <f t="shared" si="255"/>
        <v>1</v>
      </c>
      <c r="CA139" s="805">
        <f t="shared" si="256"/>
        <v>1.8181818181818181</v>
      </c>
      <c r="CB139" s="805">
        <f t="shared" si="257"/>
        <v>1</v>
      </c>
      <c r="CC139" s="805">
        <f t="shared" si="258"/>
        <v>0.66651011089367251</v>
      </c>
      <c r="CD139" s="682" t="s">
        <v>1986</v>
      </c>
      <c r="CE139" s="631" t="str">
        <f t="shared" si="259"/>
        <v>No Prog ni Ejec</v>
      </c>
      <c r="CF139" s="631" t="str">
        <f t="shared" si="260"/>
        <v>No Prog ni Ejec</v>
      </c>
      <c r="CG139" s="631" t="str">
        <f t="shared" si="261"/>
        <v>No Prog ni Ejec</v>
      </c>
      <c r="CH139" s="631" t="str">
        <f t="shared" si="262"/>
        <v>No Prog ni Ejec</v>
      </c>
      <c r="CI139" s="631" t="str">
        <f t="shared" si="263"/>
        <v>No Prog ni Ejec</v>
      </c>
      <c r="CJ139" s="631">
        <f t="shared" si="264"/>
        <v>9.9268822229361994E-2</v>
      </c>
      <c r="CK139" s="631">
        <f t="shared" si="265"/>
        <v>1</v>
      </c>
      <c r="CL139" s="685">
        <f t="shared" si="266"/>
        <v>1.8181818181818181</v>
      </c>
      <c r="CM139" s="127">
        <f t="shared" si="272"/>
        <v>0</v>
      </c>
      <c r="CZ139" s="69">
        <v>9</v>
      </c>
    </row>
    <row r="140" spans="1:107" s="69" customFormat="1" ht="409.6" customHeight="1" x14ac:dyDescent="0.2">
      <c r="A140" s="813">
        <v>11600</v>
      </c>
      <c r="B140" s="806" t="s">
        <v>4</v>
      </c>
      <c r="C140" s="806" t="s">
        <v>330</v>
      </c>
      <c r="D140" s="822"/>
      <c r="E140" s="822" t="s">
        <v>1017</v>
      </c>
      <c r="F140" s="822" t="s">
        <v>1017</v>
      </c>
      <c r="G140" s="822"/>
      <c r="H140" s="822"/>
      <c r="I140" s="822"/>
      <c r="J140" s="822"/>
      <c r="K140" s="822"/>
      <c r="L140" s="822"/>
      <c r="M140" s="822"/>
      <c r="N140" s="822"/>
      <c r="O140" s="822"/>
      <c r="P140" s="822"/>
      <c r="Q140" s="806" t="s">
        <v>204</v>
      </c>
      <c r="R140" s="806" t="s">
        <v>204</v>
      </c>
      <c r="S140" s="814" t="s">
        <v>100</v>
      </c>
      <c r="T140" s="806" t="s">
        <v>94</v>
      </c>
      <c r="U140" s="806" t="s">
        <v>204</v>
      </c>
      <c r="V140" s="806" t="s">
        <v>204</v>
      </c>
      <c r="W140" s="814" t="s">
        <v>573</v>
      </c>
      <c r="X140" s="806" t="s">
        <v>404</v>
      </c>
      <c r="Y140" s="817" t="s">
        <v>51</v>
      </c>
      <c r="Z140" s="156">
        <v>1</v>
      </c>
      <c r="AA140" s="814" t="s">
        <v>572</v>
      </c>
      <c r="AB140" s="806" t="s">
        <v>349</v>
      </c>
      <c r="AC140" s="826">
        <v>0</v>
      </c>
      <c r="AD140" s="811">
        <v>1</v>
      </c>
      <c r="AE140" s="806" t="s">
        <v>17</v>
      </c>
      <c r="AF140" s="806" t="s">
        <v>27</v>
      </c>
      <c r="AG140" s="806" t="s">
        <v>204</v>
      </c>
      <c r="AH140" s="806" t="s">
        <v>633</v>
      </c>
      <c r="AI140" s="806" t="s">
        <v>82</v>
      </c>
      <c r="AJ140" s="806" t="s">
        <v>1263</v>
      </c>
      <c r="AK140" s="806" t="s">
        <v>427</v>
      </c>
      <c r="AL140" s="806" t="s">
        <v>44</v>
      </c>
      <c r="AM140" s="158">
        <v>1</v>
      </c>
      <c r="AN140" s="806" t="str">
        <f t="shared" ref="AN140:AN151" si="273">+AB140</f>
        <v>Contratar el servicio de documentación de los servicios TI y Sistemas de Información</v>
      </c>
      <c r="AO140" s="812">
        <f t="shared" si="267"/>
        <v>0</v>
      </c>
      <c r="AP140" s="836" t="s">
        <v>46</v>
      </c>
      <c r="AQ140" s="156">
        <v>0</v>
      </c>
      <c r="AR140" s="806" t="str">
        <f t="shared" si="268"/>
        <v>Contratar el servicio de documentación de los servicios TI y Sistemas de Información</v>
      </c>
      <c r="AS140" s="826">
        <f>+AO140*0</f>
        <v>0</v>
      </c>
      <c r="AT140" s="156">
        <v>0</v>
      </c>
      <c r="AU140" s="826">
        <v>0</v>
      </c>
      <c r="AV140" s="807" t="e">
        <f t="shared" si="243"/>
        <v>#DIV/0!</v>
      </c>
      <c r="AW140" s="807" t="e">
        <f t="shared" si="244"/>
        <v>#DIV/0!</v>
      </c>
      <c r="AX140" s="807">
        <f t="shared" si="245"/>
        <v>0</v>
      </c>
      <c r="AY140" s="807" t="e">
        <f t="shared" si="246"/>
        <v>#DIV/0!</v>
      </c>
      <c r="AZ140" s="459" t="s">
        <v>1311</v>
      </c>
      <c r="BA140" s="156">
        <v>0</v>
      </c>
      <c r="BB140" s="806" t="str">
        <f t="shared" si="269"/>
        <v>Contratar el servicio de documentación de los servicios TI y Sistemas de Información</v>
      </c>
      <c r="BC140" s="826">
        <v>0</v>
      </c>
      <c r="BD140" s="677">
        <v>0</v>
      </c>
      <c r="BE140" s="826">
        <v>0</v>
      </c>
      <c r="BF140" s="807" t="e">
        <f t="shared" si="247"/>
        <v>#DIV/0!</v>
      </c>
      <c r="BG140" s="807" t="e">
        <f t="shared" si="248"/>
        <v>#DIV/0!</v>
      </c>
      <c r="BH140" s="807">
        <f t="shared" si="249"/>
        <v>0</v>
      </c>
      <c r="BI140" s="807" t="e">
        <f t="shared" si="250"/>
        <v>#DIV/0!</v>
      </c>
      <c r="BJ140" s="808" t="s">
        <v>1654</v>
      </c>
      <c r="BK140" s="156">
        <v>0.2</v>
      </c>
      <c r="BL140" s="806" t="str">
        <f t="shared" si="270"/>
        <v>Contratar el servicio de documentación de los servicios TI y Sistemas de Información</v>
      </c>
      <c r="BM140" s="826">
        <f>+AC140*0.6</f>
        <v>0</v>
      </c>
      <c r="BN140" s="156">
        <f>4/4</f>
        <v>1</v>
      </c>
      <c r="BO140" s="911">
        <v>0</v>
      </c>
      <c r="BP140" s="807">
        <f t="shared" si="251"/>
        <v>5</v>
      </c>
      <c r="BQ140" s="807" t="e">
        <f t="shared" si="252"/>
        <v>#DIV/0!</v>
      </c>
      <c r="BR140" s="807">
        <f t="shared" si="253"/>
        <v>1</v>
      </c>
      <c r="BS140" s="807" t="e">
        <f t="shared" si="254"/>
        <v>#DIV/0!</v>
      </c>
      <c r="BT140" s="459" t="s">
        <v>1849</v>
      </c>
      <c r="BU140" s="158">
        <v>0.8</v>
      </c>
      <c r="BV140" s="806" t="str">
        <f t="shared" si="271"/>
        <v>Contratar el servicio de documentación de los servicios TI y Sistemas de Información</v>
      </c>
      <c r="BW140" s="826">
        <f>+AC140*0.4</f>
        <v>0</v>
      </c>
      <c r="BX140" s="1054">
        <v>0</v>
      </c>
      <c r="BY140" s="1053">
        <v>0</v>
      </c>
      <c r="BZ140" s="805">
        <f t="shared" si="255"/>
        <v>0</v>
      </c>
      <c r="CA140" s="805" t="e">
        <f t="shared" si="256"/>
        <v>#DIV/0!</v>
      </c>
      <c r="CB140" s="805">
        <f t="shared" si="257"/>
        <v>1</v>
      </c>
      <c r="CC140" s="805" t="e">
        <f t="shared" si="258"/>
        <v>#DIV/0!</v>
      </c>
      <c r="CD140" s="682" t="s">
        <v>1987</v>
      </c>
      <c r="CE140" s="631" t="str">
        <f t="shared" si="259"/>
        <v>No Prog ni Ejec</v>
      </c>
      <c r="CF140" s="631" t="str">
        <f t="shared" si="260"/>
        <v>No Prog ni Ejec</v>
      </c>
      <c r="CG140" s="631" t="str">
        <f t="shared" si="261"/>
        <v>No Prog ni Ejec</v>
      </c>
      <c r="CH140" s="631" t="str">
        <f t="shared" si="262"/>
        <v>No Prog ni Ejec</v>
      </c>
      <c r="CI140" s="631">
        <f t="shared" si="263"/>
        <v>5</v>
      </c>
      <c r="CJ140" s="631" t="str">
        <f t="shared" si="264"/>
        <v>No Prog ni Ejec</v>
      </c>
      <c r="CK140" s="631">
        <f t="shared" si="265"/>
        <v>0</v>
      </c>
      <c r="CL140" s="685" t="str">
        <f t="shared" si="266"/>
        <v>No Prog ni Ejec</v>
      </c>
      <c r="CM140" s="127">
        <f t="shared" si="272"/>
        <v>0</v>
      </c>
      <c r="CW140" s="121">
        <v>6</v>
      </c>
    </row>
    <row r="141" spans="1:107" s="69" customFormat="1" ht="170.25" customHeight="1" x14ac:dyDescent="0.2">
      <c r="A141" s="813">
        <v>11600</v>
      </c>
      <c r="B141" s="806" t="s">
        <v>4</v>
      </c>
      <c r="C141" s="806" t="s">
        <v>336</v>
      </c>
      <c r="D141" s="822" t="s">
        <v>1017</v>
      </c>
      <c r="E141" s="822"/>
      <c r="F141" s="822"/>
      <c r="G141" s="822"/>
      <c r="H141" s="822"/>
      <c r="I141" s="822"/>
      <c r="J141" s="822"/>
      <c r="K141" s="822"/>
      <c r="L141" s="822"/>
      <c r="M141" s="822"/>
      <c r="N141" s="822"/>
      <c r="O141" s="822"/>
      <c r="P141" s="822"/>
      <c r="Q141" s="806" t="s">
        <v>1123</v>
      </c>
      <c r="R141" s="806" t="s">
        <v>1129</v>
      </c>
      <c r="S141" s="814" t="s">
        <v>100</v>
      </c>
      <c r="T141" s="806" t="s">
        <v>94</v>
      </c>
      <c r="U141" s="806" t="s">
        <v>204</v>
      </c>
      <c r="V141" s="806" t="s">
        <v>204</v>
      </c>
      <c r="W141" s="814" t="s">
        <v>1110</v>
      </c>
      <c r="X141" s="806" t="s">
        <v>1055</v>
      </c>
      <c r="Y141" s="817" t="s">
        <v>390</v>
      </c>
      <c r="Z141" s="66">
        <v>3</v>
      </c>
      <c r="AA141" s="814" t="s">
        <v>1100</v>
      </c>
      <c r="AB141" s="806" t="s">
        <v>1054</v>
      </c>
      <c r="AC141" s="810">
        <v>0</v>
      </c>
      <c r="AD141" s="811">
        <v>1</v>
      </c>
      <c r="AE141" s="806" t="s">
        <v>17</v>
      </c>
      <c r="AF141" s="806" t="s">
        <v>295</v>
      </c>
      <c r="AG141" s="806" t="s">
        <v>204</v>
      </c>
      <c r="AH141" s="806" t="s">
        <v>633</v>
      </c>
      <c r="AI141" s="806" t="s">
        <v>1045</v>
      </c>
      <c r="AJ141" s="806" t="s">
        <v>1274</v>
      </c>
      <c r="AK141" s="806" t="s">
        <v>1056</v>
      </c>
      <c r="AL141" s="806" t="s">
        <v>204</v>
      </c>
      <c r="AM141" s="67">
        <v>3</v>
      </c>
      <c r="AN141" s="806" t="str">
        <f>+AB141</f>
        <v>Realizar reuniones de autocontrol y seguimiento a los procesos que evidencien el monitoreo a los riesgos, indicadores, planes de mejoramiento, manuales y documentos asociados</v>
      </c>
      <c r="AO141" s="812">
        <f t="shared" si="267"/>
        <v>0</v>
      </c>
      <c r="AP141" s="836" t="s">
        <v>48</v>
      </c>
      <c r="AQ141" s="67">
        <v>0</v>
      </c>
      <c r="AR141" s="806" t="str">
        <f t="shared" si="268"/>
        <v>Realizar reuniones de autocontrol y seguimiento a los procesos que evidencien el monitoreo a los riesgos, indicadores, planes de mejoramiento, manuales y documentos asociados</v>
      </c>
      <c r="AS141" s="810">
        <f>+AO141/4</f>
        <v>0</v>
      </c>
      <c r="AT141" s="814">
        <v>0</v>
      </c>
      <c r="AU141" s="826">
        <v>0</v>
      </c>
      <c r="AV141" s="807" t="e">
        <f t="shared" si="243"/>
        <v>#DIV/0!</v>
      </c>
      <c r="AW141" s="807" t="e">
        <f t="shared" si="244"/>
        <v>#DIV/0!</v>
      </c>
      <c r="AX141" s="807">
        <f t="shared" si="245"/>
        <v>0</v>
      </c>
      <c r="AY141" s="807" t="e">
        <f t="shared" si="246"/>
        <v>#DIV/0!</v>
      </c>
      <c r="AZ141" s="459" t="s">
        <v>1311</v>
      </c>
      <c r="BA141" s="67">
        <v>1</v>
      </c>
      <c r="BB141" s="806" t="str">
        <f t="shared" si="269"/>
        <v>Realizar reuniones de autocontrol y seguimiento a los procesos que evidencien el monitoreo a los riesgos, indicadores, planes de mejoramiento, manuales y documentos asociados</v>
      </c>
      <c r="BC141" s="810">
        <f>+AO141/4</f>
        <v>0</v>
      </c>
      <c r="BD141" s="726">
        <v>1</v>
      </c>
      <c r="BE141" s="826">
        <v>0</v>
      </c>
      <c r="BF141" s="807">
        <f t="shared" si="247"/>
        <v>1</v>
      </c>
      <c r="BG141" s="807" t="e">
        <f t="shared" si="248"/>
        <v>#DIV/0!</v>
      </c>
      <c r="BH141" s="807">
        <f t="shared" si="249"/>
        <v>0.33333333333333331</v>
      </c>
      <c r="BI141" s="807" t="e">
        <f t="shared" si="250"/>
        <v>#DIV/0!</v>
      </c>
      <c r="BJ141" s="866" t="s">
        <v>1775</v>
      </c>
      <c r="BK141" s="67">
        <v>1</v>
      </c>
      <c r="BL141" s="806" t="str">
        <f t="shared" si="270"/>
        <v>Realizar reuniones de autocontrol y seguimiento a los procesos que evidencien el monitoreo a los riesgos, indicadores, planes de mejoramiento, manuales y documentos asociados</v>
      </c>
      <c r="BM141" s="810">
        <f>+AO141/4</f>
        <v>0</v>
      </c>
      <c r="BN141" s="814">
        <v>1</v>
      </c>
      <c r="BO141" s="911">
        <v>0</v>
      </c>
      <c r="BP141" s="807">
        <f t="shared" si="251"/>
        <v>1</v>
      </c>
      <c r="BQ141" s="807" t="e">
        <f t="shared" si="252"/>
        <v>#DIV/0!</v>
      </c>
      <c r="BR141" s="807">
        <f t="shared" si="253"/>
        <v>0.66666666666666663</v>
      </c>
      <c r="BS141" s="807" t="e">
        <f t="shared" si="254"/>
        <v>#DIV/0!</v>
      </c>
      <c r="BT141" s="459" t="s">
        <v>1817</v>
      </c>
      <c r="BU141" s="67">
        <v>1</v>
      </c>
      <c r="BV141" s="806" t="str">
        <f t="shared" si="271"/>
        <v>Realizar reuniones de autocontrol y seguimiento a los procesos que evidencien el monitoreo a los riesgos, indicadores, planes de mejoramiento, manuales y documentos asociados</v>
      </c>
      <c r="BW141" s="810">
        <f>+AO141/4</f>
        <v>0</v>
      </c>
      <c r="BX141" s="1056">
        <v>1</v>
      </c>
      <c r="BY141" s="1053">
        <v>0</v>
      </c>
      <c r="BZ141" s="805">
        <f t="shared" si="255"/>
        <v>1</v>
      </c>
      <c r="CA141" s="805" t="e">
        <f t="shared" si="256"/>
        <v>#DIV/0!</v>
      </c>
      <c r="CB141" s="805">
        <f t="shared" si="257"/>
        <v>1</v>
      </c>
      <c r="CC141" s="805" t="e">
        <f t="shared" si="258"/>
        <v>#DIV/0!</v>
      </c>
      <c r="CD141" s="682" t="s">
        <v>1972</v>
      </c>
      <c r="CE141" s="631" t="str">
        <f t="shared" si="259"/>
        <v>No Prog ni Ejec</v>
      </c>
      <c r="CF141" s="631" t="str">
        <f t="shared" si="260"/>
        <v>No Prog ni Ejec</v>
      </c>
      <c r="CG141" s="631">
        <f t="shared" si="261"/>
        <v>1</v>
      </c>
      <c r="CH141" s="631" t="str">
        <f t="shared" si="262"/>
        <v>No Prog ni Ejec</v>
      </c>
      <c r="CI141" s="631">
        <f t="shared" si="263"/>
        <v>1</v>
      </c>
      <c r="CJ141" s="631" t="str">
        <f t="shared" si="264"/>
        <v>No Prog ni Ejec</v>
      </c>
      <c r="CK141" s="631">
        <f t="shared" si="265"/>
        <v>1</v>
      </c>
      <c r="CL141" s="685" t="str">
        <f t="shared" si="266"/>
        <v>No Prog ni Ejec</v>
      </c>
      <c r="CM141" s="127">
        <f t="shared" si="272"/>
        <v>0</v>
      </c>
      <c r="CR141" s="121">
        <v>1</v>
      </c>
      <c r="CS141" s="121"/>
      <c r="CT141" s="121"/>
      <c r="CU141" s="121"/>
      <c r="CV141" s="121"/>
      <c r="CW141" s="121"/>
      <c r="CX141" s="121"/>
      <c r="CY141" s="121"/>
      <c r="CZ141" s="121"/>
      <c r="DA141" s="121"/>
      <c r="DB141" s="121"/>
      <c r="DC141" s="121"/>
    </row>
    <row r="142" spans="1:107" s="69" customFormat="1" ht="127.5" x14ac:dyDescent="0.2">
      <c r="A142" s="813">
        <v>11600</v>
      </c>
      <c r="B142" s="806" t="s">
        <v>4</v>
      </c>
      <c r="C142" s="806" t="s">
        <v>336</v>
      </c>
      <c r="D142" s="822" t="s">
        <v>1017</v>
      </c>
      <c r="E142" s="822"/>
      <c r="F142" s="822"/>
      <c r="G142" s="822"/>
      <c r="H142" s="822"/>
      <c r="I142" s="822"/>
      <c r="J142" s="822"/>
      <c r="K142" s="822"/>
      <c r="L142" s="822"/>
      <c r="M142" s="822"/>
      <c r="N142" s="822"/>
      <c r="O142" s="822"/>
      <c r="P142" s="822"/>
      <c r="Q142" s="806" t="s">
        <v>1126</v>
      </c>
      <c r="R142" s="806" t="s">
        <v>1131</v>
      </c>
      <c r="S142" s="814" t="s">
        <v>100</v>
      </c>
      <c r="T142" s="806" t="s">
        <v>94</v>
      </c>
      <c r="U142" s="806" t="s">
        <v>204</v>
      </c>
      <c r="V142" s="806" t="s">
        <v>204</v>
      </c>
      <c r="W142" s="814" t="s">
        <v>1111</v>
      </c>
      <c r="X142" s="806" t="s">
        <v>508</v>
      </c>
      <c r="Y142" s="333" t="s">
        <v>390</v>
      </c>
      <c r="Z142" s="484">
        <v>1</v>
      </c>
      <c r="AA142" s="814" t="s">
        <v>1101</v>
      </c>
      <c r="AB142" s="806" t="s">
        <v>626</v>
      </c>
      <c r="AC142" s="810">
        <v>0</v>
      </c>
      <c r="AD142" s="811">
        <v>1</v>
      </c>
      <c r="AE142" s="806" t="s">
        <v>17</v>
      </c>
      <c r="AF142" s="806" t="s">
        <v>23</v>
      </c>
      <c r="AG142" s="806" t="s">
        <v>204</v>
      </c>
      <c r="AH142" s="806" t="s">
        <v>633</v>
      </c>
      <c r="AI142" s="806" t="s">
        <v>82</v>
      </c>
      <c r="AJ142" s="806" t="s">
        <v>1275</v>
      </c>
      <c r="AK142" s="806" t="s">
        <v>511</v>
      </c>
      <c r="AL142" s="806" t="s">
        <v>42</v>
      </c>
      <c r="AM142" s="484">
        <v>1</v>
      </c>
      <c r="AN142" s="806" t="str">
        <f t="shared" si="27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1">
        <f t="shared" si="267"/>
        <v>0</v>
      </c>
      <c r="AP142" s="836" t="s">
        <v>48</v>
      </c>
      <c r="AQ142" s="484">
        <v>1</v>
      </c>
      <c r="AR142" s="806"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810">
        <v>0</v>
      </c>
      <c r="AT142" s="814">
        <v>1</v>
      </c>
      <c r="AU142" s="826">
        <v>0</v>
      </c>
      <c r="AV142" s="807">
        <f t="shared" si="243"/>
        <v>1</v>
      </c>
      <c r="AW142" s="807" t="e">
        <f t="shared" si="244"/>
        <v>#DIV/0!</v>
      </c>
      <c r="AX142" s="807">
        <f t="shared" si="245"/>
        <v>1</v>
      </c>
      <c r="AY142" s="807" t="e">
        <f t="shared" si="246"/>
        <v>#DIV/0!</v>
      </c>
      <c r="AZ142" s="459" t="s">
        <v>1738</v>
      </c>
      <c r="BA142" s="867">
        <v>0</v>
      </c>
      <c r="BB142" s="806"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810">
        <v>0</v>
      </c>
      <c r="BD142" s="868">
        <v>0</v>
      </c>
      <c r="BE142" s="826">
        <v>0</v>
      </c>
      <c r="BF142" s="807" t="e">
        <f t="shared" si="247"/>
        <v>#DIV/0!</v>
      </c>
      <c r="BG142" s="807" t="e">
        <f t="shared" si="248"/>
        <v>#DIV/0!</v>
      </c>
      <c r="BH142" s="807">
        <f t="shared" si="249"/>
        <v>1</v>
      </c>
      <c r="BI142" s="807" t="e">
        <f t="shared" si="250"/>
        <v>#DIV/0!</v>
      </c>
      <c r="BJ142" s="866" t="s">
        <v>1776</v>
      </c>
      <c r="BK142" s="867">
        <v>0</v>
      </c>
      <c r="BL142" s="806"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810">
        <v>0</v>
      </c>
      <c r="BN142" s="814">
        <v>0</v>
      </c>
      <c r="BO142" s="911">
        <v>0</v>
      </c>
      <c r="BP142" s="807" t="e">
        <f t="shared" ref="BP142:BP147" si="274">+(BN142/BK142)</f>
        <v>#DIV/0!</v>
      </c>
      <c r="BQ142" s="807" t="e">
        <f t="shared" ref="BQ142:BQ147" si="275">+(BO142/BM142)</f>
        <v>#DIV/0!</v>
      </c>
      <c r="BR142" s="807">
        <f t="shared" ref="BR142:BR147" si="276">+(BD142+AT142+BN142)/AM142</f>
        <v>1</v>
      </c>
      <c r="BS142" s="807" t="e">
        <f t="shared" ref="BS142:BS147" si="277">+(BE142+AU142+BO142)/AO142</f>
        <v>#DIV/0!</v>
      </c>
      <c r="BT142" s="459" t="s">
        <v>1818</v>
      </c>
      <c r="BU142" s="867">
        <v>0</v>
      </c>
      <c r="BV142" s="806" t="str">
        <f t="shared" si="27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810">
        <v>0</v>
      </c>
      <c r="BX142" s="1056">
        <v>0</v>
      </c>
      <c r="BY142" s="1053">
        <v>0</v>
      </c>
      <c r="BZ142" s="805" t="e">
        <f t="shared" ref="BZ142:BZ148" si="278">+(BX142/BU142)</f>
        <v>#DIV/0!</v>
      </c>
      <c r="CA142" s="805" t="e">
        <f t="shared" ref="CA142:CA148" si="279">+(BY142/BW142)</f>
        <v>#DIV/0!</v>
      </c>
      <c r="CB142" s="805">
        <f t="shared" ref="CB142:CB148" si="280">+(BD142+AT142+BN142+BX142)/AM142</f>
        <v>1</v>
      </c>
      <c r="CC142" s="805" t="e">
        <f t="shared" ref="CC142:CC148" si="281">+(BE142+AU142+BO142+BY142)/AO142</f>
        <v>#DIV/0!</v>
      </c>
      <c r="CD142" s="682" t="s">
        <v>1973</v>
      </c>
      <c r="CE142" s="631">
        <f t="shared" ref="CE142:CE148" si="282">IF(AND(AQ142=0,AT142=0),"No Prog ni Ejec",IF(AQ142=0,CONCATENATE("No Prog, Ejec=  ",AT142),AT142/AQ142))</f>
        <v>1</v>
      </c>
      <c r="CF142" s="631" t="str">
        <f t="shared" ref="CF142:CF148" si="283">IF(AND(AS142=0,AU142=0),"No Prog ni Ejec",IF(AS142=0,CONCATENATE("No Prog, Ejec=  ",AU142),AU142/AS142))</f>
        <v>No Prog ni Ejec</v>
      </c>
      <c r="CG142" s="631" t="str">
        <f t="shared" ref="CG142:CG148" si="284">IF(AND(BA142=0,BD142=0),"No Prog ni Ejec",IF(BA142=0,CONCATENATE("No Prog, Ejec=  ",BD142),BD142/BA142))</f>
        <v>No Prog ni Ejec</v>
      </c>
      <c r="CH142" s="631" t="str">
        <f t="shared" ref="CH142:CH148" si="285">IF(AND(BC142=0,BE142=0),"No Prog ni Ejec",IF(BC142=0,CONCATENATE("No Prog, Ejec=  ",BE142),BE142/BC142))</f>
        <v>No Prog ni Ejec</v>
      </c>
      <c r="CI142" s="631" t="str">
        <f t="shared" ref="CI142:CI148" si="286">IF(AND(BK142=0,BN142=0),"No Prog ni Ejec",IF(BK142=0,CONCATENATE("No Prog, Ejec=  ",BN142),BN142/BK142))</f>
        <v>No Prog ni Ejec</v>
      </c>
      <c r="CJ142" s="631" t="str">
        <f t="shared" ref="CJ142:CJ148" si="287">IF(AND(BM142=0,BO142=0),"No Prog ni Ejec",IF(BM142=0,CONCATENATE("No Prog, Ejec=  ",BO142),BO142/BM142))</f>
        <v>No Prog ni Ejec</v>
      </c>
      <c r="CK142" s="631" t="str">
        <f t="shared" ref="CK142:CK148" si="288">IF(AND(BU142=0,BX142=0),"No Prog ni Ejec",IF(BU142=0,CONCATENATE("No Prog, Ejec=  ",BX142),BX142/BU142))</f>
        <v>No Prog ni Ejec</v>
      </c>
      <c r="CL142" s="685" t="str">
        <f t="shared" ref="CL142:CL148" si="289">IF(AND(BW142=0,BY142=0),"No Prog ni Ejec",IF(BW142=0,CONCATENATE("No Prog, Ejec=  ",BY142),BY142/BW142))</f>
        <v>No Prog ni Ejec</v>
      </c>
      <c r="CM142" s="127">
        <f t="shared" si="272"/>
        <v>0</v>
      </c>
      <c r="CR142" s="121">
        <v>1</v>
      </c>
      <c r="CS142" s="121"/>
      <c r="CT142" s="121"/>
      <c r="CU142" s="121"/>
      <c r="CV142" s="121"/>
      <c r="CW142" s="121"/>
      <c r="CX142" s="121"/>
      <c r="CY142" s="121"/>
      <c r="CZ142" s="121"/>
      <c r="DA142" s="121"/>
      <c r="DB142" s="121"/>
      <c r="DC142" s="121"/>
    </row>
    <row r="143" spans="1:107" s="69" customFormat="1" ht="210.75" customHeight="1" x14ac:dyDescent="0.2">
      <c r="A143" s="813">
        <v>11600</v>
      </c>
      <c r="B143" s="806" t="s">
        <v>4</v>
      </c>
      <c r="C143" s="806" t="s">
        <v>507</v>
      </c>
      <c r="D143" s="822" t="s">
        <v>1017</v>
      </c>
      <c r="E143" s="822"/>
      <c r="F143" s="822"/>
      <c r="G143" s="822"/>
      <c r="H143" s="822"/>
      <c r="I143" s="822"/>
      <c r="J143" s="822"/>
      <c r="K143" s="822"/>
      <c r="L143" s="822"/>
      <c r="M143" s="822"/>
      <c r="N143" s="822"/>
      <c r="O143" s="822" t="s">
        <v>1017</v>
      </c>
      <c r="P143" s="822" t="s">
        <v>1017</v>
      </c>
      <c r="Q143" s="806" t="s">
        <v>1123</v>
      </c>
      <c r="R143" s="806" t="s">
        <v>1618</v>
      </c>
      <c r="S143" s="814" t="s">
        <v>100</v>
      </c>
      <c r="T143" s="806" t="s">
        <v>94</v>
      </c>
      <c r="U143" s="806" t="s">
        <v>204</v>
      </c>
      <c r="V143" s="806" t="s">
        <v>204</v>
      </c>
      <c r="W143" s="814" t="s">
        <v>1112</v>
      </c>
      <c r="X143" s="806" t="s">
        <v>509</v>
      </c>
      <c r="Y143" s="333" t="s">
        <v>390</v>
      </c>
      <c r="Z143" s="484">
        <v>1</v>
      </c>
      <c r="AA143" s="814" t="s">
        <v>1102</v>
      </c>
      <c r="AB143" s="806" t="s">
        <v>510</v>
      </c>
      <c r="AC143" s="810">
        <v>0</v>
      </c>
      <c r="AD143" s="811">
        <v>1</v>
      </c>
      <c r="AE143" s="806" t="s">
        <v>17</v>
      </c>
      <c r="AF143" s="806" t="s">
        <v>295</v>
      </c>
      <c r="AG143" s="806" t="s">
        <v>204</v>
      </c>
      <c r="AH143" s="806" t="s">
        <v>633</v>
      </c>
      <c r="AI143" s="806" t="s">
        <v>1039</v>
      </c>
      <c r="AJ143" s="806" t="s">
        <v>204</v>
      </c>
      <c r="AK143" s="806" t="s">
        <v>512</v>
      </c>
      <c r="AL143" s="806" t="s">
        <v>204</v>
      </c>
      <c r="AM143" s="484">
        <v>1</v>
      </c>
      <c r="AN143" s="806" t="str">
        <f t="shared" si="273"/>
        <v>Actualizar de manera colaborativa la Política del Sistema Integrado de Administración de Riesgos de la ADRES.</v>
      </c>
      <c r="AO143" s="71">
        <f t="shared" si="267"/>
        <v>0</v>
      </c>
      <c r="AP143" s="836" t="s">
        <v>48</v>
      </c>
      <c r="AQ143" s="867">
        <v>0</v>
      </c>
      <c r="AR143" s="806" t="str">
        <f t="shared" si="268"/>
        <v>Actualizar de manera colaborativa la Política del Sistema Integrado de Administración de Riesgos de la ADRES.</v>
      </c>
      <c r="AS143" s="810">
        <f>+AO143*0</f>
        <v>0</v>
      </c>
      <c r="AT143" s="814">
        <v>0</v>
      </c>
      <c r="AU143" s="826">
        <v>0</v>
      </c>
      <c r="AV143" s="807" t="e">
        <f t="shared" si="243"/>
        <v>#DIV/0!</v>
      </c>
      <c r="AW143" s="807" t="e">
        <f t="shared" si="244"/>
        <v>#DIV/0!</v>
      </c>
      <c r="AX143" s="807">
        <f t="shared" si="245"/>
        <v>0</v>
      </c>
      <c r="AY143" s="807" t="e">
        <f t="shared" si="246"/>
        <v>#DIV/0!</v>
      </c>
      <c r="AZ143" s="459" t="s">
        <v>1311</v>
      </c>
      <c r="BA143" s="484">
        <v>1</v>
      </c>
      <c r="BB143" s="806" t="str">
        <f t="shared" si="269"/>
        <v>Actualizar de manera colaborativa la Política del Sistema Integrado de Administración de Riesgos de la ADRES.</v>
      </c>
      <c r="BC143" s="810">
        <v>0</v>
      </c>
      <c r="BD143" s="868">
        <v>0</v>
      </c>
      <c r="BE143" s="826">
        <v>0</v>
      </c>
      <c r="BF143" s="807">
        <f t="shared" si="247"/>
        <v>0</v>
      </c>
      <c r="BG143" s="807" t="e">
        <f t="shared" si="248"/>
        <v>#DIV/0!</v>
      </c>
      <c r="BH143" s="807">
        <f t="shared" si="249"/>
        <v>0</v>
      </c>
      <c r="BI143" s="807" t="e">
        <f t="shared" si="250"/>
        <v>#DIV/0!</v>
      </c>
      <c r="BJ143" s="808" t="s">
        <v>1655</v>
      </c>
      <c r="BK143" s="867">
        <v>0</v>
      </c>
      <c r="BL143" s="806" t="str">
        <f t="shared" si="270"/>
        <v>Actualizar de manera colaborativa la Política del Sistema Integrado de Administración de Riesgos de la ADRES.</v>
      </c>
      <c r="BM143" s="810">
        <v>0</v>
      </c>
      <c r="BN143" s="814">
        <v>1</v>
      </c>
      <c r="BO143" s="911">
        <v>0</v>
      </c>
      <c r="BP143" s="807">
        <v>1</v>
      </c>
      <c r="BQ143" s="807" t="e">
        <f t="shared" si="275"/>
        <v>#DIV/0!</v>
      </c>
      <c r="BR143" s="807">
        <f t="shared" si="276"/>
        <v>1</v>
      </c>
      <c r="BS143" s="807" t="e">
        <f t="shared" si="277"/>
        <v>#DIV/0!</v>
      </c>
      <c r="BT143" s="459" t="s">
        <v>1850</v>
      </c>
      <c r="BU143" s="867">
        <v>0</v>
      </c>
      <c r="BV143" s="806" t="str">
        <f t="shared" si="271"/>
        <v>Actualizar de manera colaborativa la Política del Sistema Integrado de Administración de Riesgos de la ADRES.</v>
      </c>
      <c r="BW143" s="826">
        <v>0</v>
      </c>
      <c r="BX143" s="1056">
        <v>0</v>
      </c>
      <c r="BY143" s="1053">
        <v>0</v>
      </c>
      <c r="BZ143" s="805" t="e">
        <f t="shared" si="278"/>
        <v>#DIV/0!</v>
      </c>
      <c r="CA143" s="805" t="e">
        <f t="shared" si="279"/>
        <v>#DIV/0!</v>
      </c>
      <c r="CB143" s="805">
        <f t="shared" si="280"/>
        <v>1</v>
      </c>
      <c r="CC143" s="805" t="e">
        <f t="shared" si="281"/>
        <v>#DIV/0!</v>
      </c>
      <c r="CD143" s="682" t="s">
        <v>1973</v>
      </c>
      <c r="CE143" s="631" t="str">
        <f t="shared" si="282"/>
        <v>No Prog ni Ejec</v>
      </c>
      <c r="CF143" s="631" t="str">
        <f t="shared" si="283"/>
        <v>No Prog ni Ejec</v>
      </c>
      <c r="CG143" s="631">
        <f t="shared" si="284"/>
        <v>0</v>
      </c>
      <c r="CH143" s="631" t="str">
        <f t="shared" si="285"/>
        <v>No Prog ni Ejec</v>
      </c>
      <c r="CI143" s="631">
        <v>1</v>
      </c>
      <c r="CJ143" s="631" t="str">
        <f t="shared" si="287"/>
        <v>No Prog ni Ejec</v>
      </c>
      <c r="CK143" s="631" t="str">
        <f t="shared" si="288"/>
        <v>No Prog ni Ejec</v>
      </c>
      <c r="CL143" s="685" t="str">
        <f t="shared" si="289"/>
        <v>No Prog ni Ejec</v>
      </c>
      <c r="CM143" s="127">
        <f t="shared" si="272"/>
        <v>0</v>
      </c>
      <c r="CR143" s="121" t="s">
        <v>1017</v>
      </c>
      <c r="CS143" s="121" t="s">
        <v>1017</v>
      </c>
      <c r="CT143" s="121" t="s">
        <v>1017</v>
      </c>
      <c r="CU143" s="121"/>
      <c r="CV143" s="121"/>
      <c r="CW143" s="121"/>
      <c r="CX143" s="121"/>
      <c r="CY143" s="121"/>
      <c r="CZ143" s="121"/>
      <c r="DA143" s="121"/>
      <c r="DB143" s="121"/>
      <c r="DC143" s="121"/>
    </row>
    <row r="144" spans="1:107" s="69" customFormat="1" ht="99" customHeight="1" x14ac:dyDescent="0.2">
      <c r="A144" s="813">
        <v>11600</v>
      </c>
      <c r="B144" s="806" t="s">
        <v>4</v>
      </c>
      <c r="C144" s="806" t="s">
        <v>507</v>
      </c>
      <c r="D144" s="822" t="s">
        <v>1017</v>
      </c>
      <c r="E144" s="822"/>
      <c r="F144" s="822"/>
      <c r="G144" s="822"/>
      <c r="H144" s="822"/>
      <c r="I144" s="822"/>
      <c r="J144" s="822"/>
      <c r="K144" s="822"/>
      <c r="L144" s="822"/>
      <c r="M144" s="822"/>
      <c r="N144" s="822"/>
      <c r="O144" s="822" t="s">
        <v>1017</v>
      </c>
      <c r="P144" s="822" t="s">
        <v>1017</v>
      </c>
      <c r="Q144" s="806" t="s">
        <v>1123</v>
      </c>
      <c r="R144" s="806" t="s">
        <v>1135</v>
      </c>
      <c r="S144" s="814" t="s">
        <v>100</v>
      </c>
      <c r="T144" s="806" t="s">
        <v>94</v>
      </c>
      <c r="U144" s="806" t="s">
        <v>204</v>
      </c>
      <c r="V144" s="806" t="s">
        <v>204</v>
      </c>
      <c r="W144" s="814" t="s">
        <v>1113</v>
      </c>
      <c r="X144" s="806" t="s">
        <v>1485</v>
      </c>
      <c r="Y144" s="333" t="s">
        <v>390</v>
      </c>
      <c r="Z144" s="83">
        <v>1</v>
      </c>
      <c r="AA144" s="814" t="s">
        <v>1103</v>
      </c>
      <c r="AB144" s="806" t="s">
        <v>1484</v>
      </c>
      <c r="AC144" s="810">
        <v>0</v>
      </c>
      <c r="AD144" s="811">
        <v>1</v>
      </c>
      <c r="AE144" s="806" t="s">
        <v>17</v>
      </c>
      <c r="AF144" s="806" t="s">
        <v>295</v>
      </c>
      <c r="AG144" s="806" t="s">
        <v>204</v>
      </c>
      <c r="AH144" s="806" t="s">
        <v>633</v>
      </c>
      <c r="AI144" s="806" t="s">
        <v>1039</v>
      </c>
      <c r="AJ144" s="806" t="s">
        <v>1266</v>
      </c>
      <c r="AK144" s="806" t="s">
        <v>1486</v>
      </c>
      <c r="AL144" s="806" t="s">
        <v>204</v>
      </c>
      <c r="AM144" s="83">
        <v>1</v>
      </c>
      <c r="AN144" s="806" t="str">
        <f t="shared" si="273"/>
        <v>Identificar los riesgos de Seguridad de la Información asociados a los “Activos de Información” de los diferentes procesos de la Entidad</v>
      </c>
      <c r="AO144" s="71">
        <f t="shared" si="267"/>
        <v>0</v>
      </c>
      <c r="AP144" s="836" t="s">
        <v>48</v>
      </c>
      <c r="AQ144" s="867">
        <v>0</v>
      </c>
      <c r="AR144" s="806" t="str">
        <f t="shared" si="268"/>
        <v>Identificar los riesgos de Seguridad de la Información asociados a los “Activos de Información” de los diferentes procesos de la Entidad</v>
      </c>
      <c r="AS144" s="810">
        <f>+AO144*0</f>
        <v>0</v>
      </c>
      <c r="AT144" s="814">
        <v>0</v>
      </c>
      <c r="AU144" s="826">
        <v>0</v>
      </c>
      <c r="AV144" s="807" t="e">
        <f t="shared" si="243"/>
        <v>#DIV/0!</v>
      </c>
      <c r="AW144" s="807" t="e">
        <f t="shared" si="244"/>
        <v>#DIV/0!</v>
      </c>
      <c r="AX144" s="807">
        <f t="shared" si="245"/>
        <v>0</v>
      </c>
      <c r="AY144" s="807" t="e">
        <f t="shared" si="246"/>
        <v>#DIV/0!</v>
      </c>
      <c r="AZ144" s="459" t="s">
        <v>1311</v>
      </c>
      <c r="BA144" s="867">
        <v>0</v>
      </c>
      <c r="BB144" s="806" t="str">
        <f t="shared" si="269"/>
        <v>Identificar los riesgos de Seguridad de la Información asociados a los “Activos de Información” de los diferentes procesos de la Entidad</v>
      </c>
      <c r="BC144" s="810">
        <v>0</v>
      </c>
      <c r="BD144" s="868">
        <v>0</v>
      </c>
      <c r="BE144" s="826">
        <v>0</v>
      </c>
      <c r="BF144" s="807" t="e">
        <f t="shared" si="247"/>
        <v>#DIV/0!</v>
      </c>
      <c r="BG144" s="807" t="e">
        <f t="shared" si="248"/>
        <v>#DIV/0!</v>
      </c>
      <c r="BH144" s="807">
        <f t="shared" si="249"/>
        <v>0</v>
      </c>
      <c r="BI144" s="807" t="e">
        <f t="shared" si="250"/>
        <v>#DIV/0!</v>
      </c>
      <c r="BJ144" s="808" t="s">
        <v>1656</v>
      </c>
      <c r="BK144" s="867">
        <v>0</v>
      </c>
      <c r="BL144" s="806" t="str">
        <f t="shared" si="270"/>
        <v>Identificar los riesgos de Seguridad de la Información asociados a los “Activos de Información” de los diferentes procesos de la Entidad</v>
      </c>
      <c r="BM144" s="810">
        <v>0</v>
      </c>
      <c r="BN144" s="814">
        <v>0</v>
      </c>
      <c r="BO144" s="911">
        <v>0</v>
      </c>
      <c r="BP144" s="807" t="e">
        <f t="shared" si="274"/>
        <v>#DIV/0!</v>
      </c>
      <c r="BQ144" s="807" t="e">
        <f t="shared" si="275"/>
        <v>#DIV/0!</v>
      </c>
      <c r="BR144" s="807">
        <f t="shared" si="276"/>
        <v>0</v>
      </c>
      <c r="BS144" s="807" t="e">
        <f t="shared" si="277"/>
        <v>#DIV/0!</v>
      </c>
      <c r="BT144" s="459" t="s">
        <v>1818</v>
      </c>
      <c r="BU144" s="83">
        <v>1</v>
      </c>
      <c r="BV144" s="806" t="str">
        <f t="shared" si="271"/>
        <v>Identificar los riesgos de Seguridad de la Información asociados a los “Activos de Información” de los diferentes procesos de la Entidad</v>
      </c>
      <c r="BW144" s="826">
        <f t="shared" ref="BW144:BW151" si="290">+AO144*BU144</f>
        <v>0</v>
      </c>
      <c r="BX144" s="83">
        <f>26/26</f>
        <v>1</v>
      </c>
      <c r="BY144" s="1053">
        <v>0</v>
      </c>
      <c r="BZ144" s="805">
        <f t="shared" si="278"/>
        <v>1</v>
      </c>
      <c r="CA144" s="805" t="e">
        <f t="shared" si="279"/>
        <v>#DIV/0!</v>
      </c>
      <c r="CB144" s="805">
        <f t="shared" si="280"/>
        <v>1</v>
      </c>
      <c r="CC144" s="805" t="e">
        <f t="shared" si="281"/>
        <v>#DIV/0!</v>
      </c>
      <c r="CD144" s="682" t="s">
        <v>1974</v>
      </c>
      <c r="CE144" s="631" t="str">
        <f t="shared" si="282"/>
        <v>No Prog ni Ejec</v>
      </c>
      <c r="CF144" s="631" t="str">
        <f t="shared" si="283"/>
        <v>No Prog ni Ejec</v>
      </c>
      <c r="CG144" s="631" t="str">
        <f t="shared" si="284"/>
        <v>No Prog ni Ejec</v>
      </c>
      <c r="CH144" s="631" t="str">
        <f t="shared" si="285"/>
        <v>No Prog ni Ejec</v>
      </c>
      <c r="CI144" s="631" t="str">
        <f t="shared" si="286"/>
        <v>No Prog ni Ejec</v>
      </c>
      <c r="CJ144" s="631" t="str">
        <f t="shared" si="287"/>
        <v>No Prog ni Ejec</v>
      </c>
      <c r="CK144" s="631">
        <f t="shared" si="288"/>
        <v>1</v>
      </c>
      <c r="CL144" s="685" t="str">
        <f t="shared" si="289"/>
        <v>No Prog ni Ejec</v>
      </c>
      <c r="CM144" s="127">
        <f t="shared" si="272"/>
        <v>0</v>
      </c>
      <c r="CR144" s="121"/>
      <c r="CS144" s="121"/>
      <c r="CT144" s="121">
        <v>3</v>
      </c>
      <c r="CU144" s="121"/>
      <c r="CV144" s="121"/>
      <c r="CW144" s="121"/>
      <c r="CX144" s="121"/>
      <c r="CY144" s="121"/>
      <c r="CZ144" s="121"/>
      <c r="DA144" s="121"/>
      <c r="DB144" s="121"/>
      <c r="DC144" s="121"/>
    </row>
    <row r="145" spans="1:107" s="69" customFormat="1" ht="204" x14ac:dyDescent="0.2">
      <c r="A145" s="813">
        <v>11600</v>
      </c>
      <c r="B145" s="806" t="s">
        <v>4</v>
      </c>
      <c r="C145" s="806" t="s">
        <v>610</v>
      </c>
      <c r="D145" s="822" t="s">
        <v>1017</v>
      </c>
      <c r="E145" s="822"/>
      <c r="F145" s="822"/>
      <c r="G145" s="822" t="s">
        <v>1017</v>
      </c>
      <c r="H145" s="822"/>
      <c r="I145" s="822"/>
      <c r="J145" s="822"/>
      <c r="K145" s="822"/>
      <c r="L145" s="822" t="s">
        <v>1017</v>
      </c>
      <c r="M145" s="822"/>
      <c r="N145" s="822"/>
      <c r="O145" s="822"/>
      <c r="P145" s="822"/>
      <c r="Q145" s="806" t="s">
        <v>1598</v>
      </c>
      <c r="R145" s="806" t="s">
        <v>1133</v>
      </c>
      <c r="S145" s="814" t="s">
        <v>100</v>
      </c>
      <c r="T145" s="806" t="s">
        <v>94</v>
      </c>
      <c r="U145" s="806" t="s">
        <v>204</v>
      </c>
      <c r="V145" s="806" t="s">
        <v>204</v>
      </c>
      <c r="W145" s="814" t="s">
        <v>575</v>
      </c>
      <c r="X145" s="996" t="s">
        <v>1951</v>
      </c>
      <c r="Y145" s="333" t="s">
        <v>390</v>
      </c>
      <c r="Z145" s="484">
        <v>1</v>
      </c>
      <c r="AA145" s="814" t="s">
        <v>574</v>
      </c>
      <c r="AB145" s="996" t="s">
        <v>1950</v>
      </c>
      <c r="AC145" s="810">
        <v>0</v>
      </c>
      <c r="AD145" s="811">
        <v>1</v>
      </c>
      <c r="AE145" s="806" t="s">
        <v>16</v>
      </c>
      <c r="AF145" s="806" t="s">
        <v>21</v>
      </c>
      <c r="AG145" s="806" t="s">
        <v>204</v>
      </c>
      <c r="AH145" s="806" t="s">
        <v>633</v>
      </c>
      <c r="AI145" s="806" t="s">
        <v>77</v>
      </c>
      <c r="AJ145" s="806" t="s">
        <v>1276</v>
      </c>
      <c r="AK145" s="996" t="s">
        <v>1952</v>
      </c>
      <c r="AL145" s="806" t="s">
        <v>43</v>
      </c>
      <c r="AM145" s="484">
        <v>1</v>
      </c>
      <c r="AN145" s="806" t="str">
        <f t="shared" si="273"/>
        <v>Definir y aprobar procedimiento para la gestión y publicación de datos abiertos.</v>
      </c>
      <c r="AO145" s="71">
        <f t="shared" si="267"/>
        <v>0</v>
      </c>
      <c r="AP145" s="836" t="s">
        <v>48</v>
      </c>
      <c r="AQ145" s="867">
        <v>0</v>
      </c>
      <c r="AR145" s="806" t="str">
        <f t="shared" si="268"/>
        <v>Definir y aprobar procedimiento para la gestión y publicación de datos abiertos.</v>
      </c>
      <c r="AS145" s="810">
        <f>+AO145*0</f>
        <v>0</v>
      </c>
      <c r="AT145" s="814">
        <v>0</v>
      </c>
      <c r="AU145" s="826">
        <v>0</v>
      </c>
      <c r="AV145" s="807" t="e">
        <f t="shared" si="243"/>
        <v>#DIV/0!</v>
      </c>
      <c r="AW145" s="807" t="e">
        <f t="shared" si="244"/>
        <v>#DIV/0!</v>
      </c>
      <c r="AX145" s="807">
        <f t="shared" si="245"/>
        <v>0</v>
      </c>
      <c r="AY145" s="807" t="e">
        <f t="shared" si="246"/>
        <v>#DIV/0!</v>
      </c>
      <c r="AZ145" s="459" t="s">
        <v>1311</v>
      </c>
      <c r="BA145" s="867">
        <v>0</v>
      </c>
      <c r="BB145" s="806" t="str">
        <f t="shared" si="269"/>
        <v>Definir y aprobar procedimiento para la gestión y publicación de datos abiertos.</v>
      </c>
      <c r="BC145" s="810">
        <v>0</v>
      </c>
      <c r="BD145" s="868">
        <v>0</v>
      </c>
      <c r="BE145" s="826">
        <v>0</v>
      </c>
      <c r="BF145" s="807" t="e">
        <f t="shared" si="247"/>
        <v>#DIV/0!</v>
      </c>
      <c r="BG145" s="807" t="e">
        <f t="shared" si="248"/>
        <v>#DIV/0!</v>
      </c>
      <c r="BH145" s="807">
        <f t="shared" si="249"/>
        <v>0</v>
      </c>
      <c r="BI145" s="807" t="e">
        <f t="shared" si="250"/>
        <v>#DIV/0!</v>
      </c>
      <c r="BJ145" s="808" t="s">
        <v>1657</v>
      </c>
      <c r="BK145" s="867">
        <v>0</v>
      </c>
      <c r="BL145" s="806" t="str">
        <f t="shared" si="270"/>
        <v>Definir y aprobar procedimiento para la gestión y publicación de datos abiertos.</v>
      </c>
      <c r="BM145" s="810">
        <v>0</v>
      </c>
      <c r="BN145" s="814">
        <v>0</v>
      </c>
      <c r="BO145" s="911">
        <v>0</v>
      </c>
      <c r="BP145" s="807" t="e">
        <f t="shared" si="274"/>
        <v>#DIV/0!</v>
      </c>
      <c r="BQ145" s="807" t="e">
        <f t="shared" si="275"/>
        <v>#DIV/0!</v>
      </c>
      <c r="BR145" s="807">
        <f t="shared" si="276"/>
        <v>0</v>
      </c>
      <c r="BS145" s="807" t="e">
        <f t="shared" si="277"/>
        <v>#DIV/0!</v>
      </c>
      <c r="BT145" s="459" t="s">
        <v>1818</v>
      </c>
      <c r="BU145" s="867">
        <v>1</v>
      </c>
      <c r="BV145" s="806" t="str">
        <f t="shared" si="271"/>
        <v>Definir y aprobar procedimiento para la gestión y publicación de datos abiertos.</v>
      </c>
      <c r="BW145" s="826">
        <f t="shared" si="290"/>
        <v>0</v>
      </c>
      <c r="BX145" s="1056">
        <v>1</v>
      </c>
      <c r="BY145" s="1053">
        <v>0</v>
      </c>
      <c r="BZ145" s="805">
        <f t="shared" si="278"/>
        <v>1</v>
      </c>
      <c r="CA145" s="805" t="e">
        <f t="shared" si="279"/>
        <v>#DIV/0!</v>
      </c>
      <c r="CB145" s="805">
        <f t="shared" si="280"/>
        <v>1</v>
      </c>
      <c r="CC145" s="805" t="e">
        <f t="shared" si="281"/>
        <v>#DIV/0!</v>
      </c>
      <c r="CD145" s="682" t="s">
        <v>1975</v>
      </c>
      <c r="CE145" s="631" t="str">
        <f t="shared" si="282"/>
        <v>No Prog ni Ejec</v>
      </c>
      <c r="CF145" s="631" t="str">
        <f t="shared" si="283"/>
        <v>No Prog ni Ejec</v>
      </c>
      <c r="CG145" s="631" t="str">
        <f t="shared" si="284"/>
        <v>No Prog ni Ejec</v>
      </c>
      <c r="CH145" s="631" t="str">
        <f t="shared" si="285"/>
        <v>No Prog ni Ejec</v>
      </c>
      <c r="CI145" s="631" t="str">
        <f t="shared" si="286"/>
        <v>No Prog ni Ejec</v>
      </c>
      <c r="CJ145" s="631" t="str">
        <f t="shared" si="287"/>
        <v>No Prog ni Ejec</v>
      </c>
      <c r="CK145" s="631">
        <f t="shared" si="288"/>
        <v>1</v>
      </c>
      <c r="CL145" s="685" t="str">
        <f t="shared" si="289"/>
        <v>No Prog ni Ejec</v>
      </c>
      <c r="CM145" s="127">
        <f t="shared" si="272"/>
        <v>0</v>
      </c>
      <c r="CU145" s="121">
        <v>4</v>
      </c>
      <c r="DB145" s="69">
        <v>11</v>
      </c>
    </row>
    <row r="146" spans="1:107" s="69" customFormat="1" ht="128.25" customHeight="1" x14ac:dyDescent="0.2">
      <c r="A146" s="813">
        <v>11600</v>
      </c>
      <c r="B146" s="806" t="s">
        <v>4</v>
      </c>
      <c r="C146" s="806" t="s">
        <v>332</v>
      </c>
      <c r="D146" s="822"/>
      <c r="E146" s="822"/>
      <c r="F146" s="822"/>
      <c r="G146" s="822"/>
      <c r="H146" s="822"/>
      <c r="I146" s="822"/>
      <c r="J146" s="822"/>
      <c r="K146" s="822"/>
      <c r="L146" s="822"/>
      <c r="M146" s="822"/>
      <c r="N146" s="822"/>
      <c r="O146" s="822" t="s">
        <v>1017</v>
      </c>
      <c r="P146" s="822"/>
      <c r="Q146" s="806" t="s">
        <v>204</v>
      </c>
      <c r="R146" s="806" t="s">
        <v>204</v>
      </c>
      <c r="S146" s="814" t="s">
        <v>100</v>
      </c>
      <c r="T146" s="806" t="s">
        <v>94</v>
      </c>
      <c r="U146" s="806" t="s">
        <v>204</v>
      </c>
      <c r="V146" s="806" t="s">
        <v>204</v>
      </c>
      <c r="W146" s="814" t="s">
        <v>1114</v>
      </c>
      <c r="X146" s="806" t="s">
        <v>513</v>
      </c>
      <c r="Y146" s="333" t="s">
        <v>390</v>
      </c>
      <c r="Z146" s="814">
        <v>2</v>
      </c>
      <c r="AA146" s="814" t="s">
        <v>1104</v>
      </c>
      <c r="AB146" s="806" t="s">
        <v>516</v>
      </c>
      <c r="AC146" s="810">
        <v>0</v>
      </c>
      <c r="AD146" s="811">
        <v>1</v>
      </c>
      <c r="AE146" s="806" t="s">
        <v>17</v>
      </c>
      <c r="AF146" s="806" t="s">
        <v>297</v>
      </c>
      <c r="AG146" s="806" t="s">
        <v>204</v>
      </c>
      <c r="AH146" s="806" t="s">
        <v>633</v>
      </c>
      <c r="AI146" s="806" t="s">
        <v>81</v>
      </c>
      <c r="AJ146" s="806" t="s">
        <v>1266</v>
      </c>
      <c r="AK146" s="806" t="s">
        <v>1142</v>
      </c>
      <c r="AL146" s="806" t="s">
        <v>204</v>
      </c>
      <c r="AM146" s="814">
        <v>2</v>
      </c>
      <c r="AN146" s="806" t="str">
        <f t="shared" si="273"/>
        <v>Realizar evaluación del autodiagnóstico del Modelos de Seguridad y Privacidad de la Información - MSPI 1 vez por semestre</v>
      </c>
      <c r="AO146" s="71">
        <f t="shared" ref="AO146:AO151" si="291">+AC146</f>
        <v>0</v>
      </c>
      <c r="AP146" s="836" t="s">
        <v>48</v>
      </c>
      <c r="AQ146" s="867">
        <v>0</v>
      </c>
      <c r="AR146" s="806" t="str">
        <f t="shared" si="268"/>
        <v>Realizar evaluación del autodiagnóstico del Modelos de Seguridad y Privacidad de la Información - MSPI 1 vez por semestre</v>
      </c>
      <c r="AS146" s="810">
        <f t="shared" ref="AS146:AS151" si="292">+AO146*0</f>
        <v>0</v>
      </c>
      <c r="AT146" s="814">
        <v>0</v>
      </c>
      <c r="AU146" s="826">
        <v>0</v>
      </c>
      <c r="AV146" s="807" t="e">
        <f t="shared" ref="AV146:AV151" si="293">+(AT146/AQ146)</f>
        <v>#DIV/0!</v>
      </c>
      <c r="AW146" s="807" t="e">
        <f t="shared" si="244"/>
        <v>#DIV/0!</v>
      </c>
      <c r="AX146" s="807">
        <f t="shared" ref="AX146:AX151" si="294">+(AT146/AM146)</f>
        <v>0</v>
      </c>
      <c r="AY146" s="807" t="e">
        <f t="shared" ref="AY146:AY151" si="295">+(AU146/AO146)</f>
        <v>#DIV/0!</v>
      </c>
      <c r="AZ146" s="459" t="s">
        <v>1311</v>
      </c>
      <c r="BA146" s="484">
        <v>1</v>
      </c>
      <c r="BB146" s="806" t="str">
        <f t="shared" ref="BB146:BB151" si="296">+AN146</f>
        <v>Realizar evaluación del autodiagnóstico del Modelos de Seguridad y Privacidad de la Información - MSPI 1 vez por semestre</v>
      </c>
      <c r="BC146" s="810">
        <v>0</v>
      </c>
      <c r="BD146" s="868">
        <v>1</v>
      </c>
      <c r="BE146" s="826">
        <v>0</v>
      </c>
      <c r="BF146" s="807">
        <f t="shared" si="247"/>
        <v>1</v>
      </c>
      <c r="BG146" s="807" t="e">
        <f t="shared" si="248"/>
        <v>#DIV/0!</v>
      </c>
      <c r="BH146" s="807">
        <f t="shared" si="249"/>
        <v>0.5</v>
      </c>
      <c r="BI146" s="807" t="e">
        <f t="shared" si="250"/>
        <v>#DIV/0!</v>
      </c>
      <c r="BJ146" s="808" t="s">
        <v>1658</v>
      </c>
      <c r="BK146" s="867">
        <v>0</v>
      </c>
      <c r="BL146" s="806" t="str">
        <f t="shared" si="270"/>
        <v>Realizar evaluación del autodiagnóstico del Modelos de Seguridad y Privacidad de la Información - MSPI 1 vez por semestre</v>
      </c>
      <c r="BM146" s="810">
        <v>0</v>
      </c>
      <c r="BN146" s="814">
        <v>0</v>
      </c>
      <c r="BO146" s="911">
        <v>0</v>
      </c>
      <c r="BP146" s="807" t="e">
        <f t="shared" si="274"/>
        <v>#DIV/0!</v>
      </c>
      <c r="BQ146" s="807" t="e">
        <f t="shared" si="275"/>
        <v>#DIV/0!</v>
      </c>
      <c r="BR146" s="807">
        <f t="shared" si="276"/>
        <v>0.5</v>
      </c>
      <c r="BS146" s="807" t="e">
        <f t="shared" si="277"/>
        <v>#DIV/0!</v>
      </c>
      <c r="BT146" s="459" t="s">
        <v>1818</v>
      </c>
      <c r="BU146" s="484">
        <v>1</v>
      </c>
      <c r="BV146" s="806" t="str">
        <f t="shared" si="271"/>
        <v>Realizar evaluación del autodiagnóstico del Modelos de Seguridad y Privacidad de la Información - MSPI 1 vez por semestre</v>
      </c>
      <c r="BW146" s="826">
        <f t="shared" si="290"/>
        <v>0</v>
      </c>
      <c r="BX146" s="1056">
        <v>1</v>
      </c>
      <c r="BY146" s="1053">
        <v>0</v>
      </c>
      <c r="BZ146" s="805">
        <f t="shared" si="278"/>
        <v>1</v>
      </c>
      <c r="CA146" s="805" t="e">
        <f t="shared" si="279"/>
        <v>#DIV/0!</v>
      </c>
      <c r="CB146" s="805">
        <f t="shared" si="280"/>
        <v>1</v>
      </c>
      <c r="CC146" s="805" t="e">
        <f t="shared" si="281"/>
        <v>#DIV/0!</v>
      </c>
      <c r="CD146" s="682" t="s">
        <v>1976</v>
      </c>
      <c r="CE146" s="631" t="str">
        <f t="shared" si="282"/>
        <v>No Prog ni Ejec</v>
      </c>
      <c r="CF146" s="631" t="str">
        <f t="shared" si="283"/>
        <v>No Prog ni Ejec</v>
      </c>
      <c r="CG146" s="631">
        <f t="shared" si="284"/>
        <v>1</v>
      </c>
      <c r="CH146" s="631" t="str">
        <f t="shared" si="285"/>
        <v>No Prog ni Ejec</v>
      </c>
      <c r="CI146" s="631" t="str">
        <f t="shared" si="286"/>
        <v>No Prog ni Ejec</v>
      </c>
      <c r="CJ146" s="631" t="str">
        <f t="shared" si="287"/>
        <v>No Prog ni Ejec</v>
      </c>
      <c r="CK146" s="631">
        <f t="shared" si="288"/>
        <v>1</v>
      </c>
      <c r="CL146" s="685" t="str">
        <f t="shared" si="289"/>
        <v>No Prog ni Ejec</v>
      </c>
      <c r="CM146" s="127">
        <f t="shared" si="272"/>
        <v>0</v>
      </c>
      <c r="CT146" s="121">
        <v>3</v>
      </c>
    </row>
    <row r="147" spans="1:107" s="69" customFormat="1" ht="122.25" customHeight="1" x14ac:dyDescent="0.2">
      <c r="A147" s="813">
        <v>11600</v>
      </c>
      <c r="B147" s="806" t="s">
        <v>4</v>
      </c>
      <c r="C147" s="806" t="s">
        <v>332</v>
      </c>
      <c r="D147" s="822"/>
      <c r="E147" s="822"/>
      <c r="F147" s="822"/>
      <c r="G147" s="822"/>
      <c r="H147" s="822"/>
      <c r="I147" s="822"/>
      <c r="J147" s="822"/>
      <c r="K147" s="822"/>
      <c r="L147" s="822"/>
      <c r="M147" s="822"/>
      <c r="N147" s="822"/>
      <c r="O147" s="822" t="s">
        <v>1017</v>
      </c>
      <c r="P147" s="822"/>
      <c r="Q147" s="806" t="s">
        <v>204</v>
      </c>
      <c r="R147" s="806" t="s">
        <v>204</v>
      </c>
      <c r="S147" s="814" t="s">
        <v>100</v>
      </c>
      <c r="T147" s="806" t="s">
        <v>94</v>
      </c>
      <c r="U147" s="806" t="s">
        <v>204</v>
      </c>
      <c r="V147" s="806" t="s">
        <v>204</v>
      </c>
      <c r="W147" s="814" t="s">
        <v>577</v>
      </c>
      <c r="X147" s="806" t="s">
        <v>514</v>
      </c>
      <c r="Y147" s="333" t="s">
        <v>390</v>
      </c>
      <c r="Z147" s="814">
        <v>2</v>
      </c>
      <c r="AA147" s="814" t="s">
        <v>576</v>
      </c>
      <c r="AB147" s="806" t="s">
        <v>517</v>
      </c>
      <c r="AC147" s="810">
        <v>0</v>
      </c>
      <c r="AD147" s="811">
        <v>1</v>
      </c>
      <c r="AE147" s="806" t="s">
        <v>17</v>
      </c>
      <c r="AF147" s="806" t="s">
        <v>297</v>
      </c>
      <c r="AG147" s="806" t="s">
        <v>204</v>
      </c>
      <c r="AH147" s="806" t="s">
        <v>633</v>
      </c>
      <c r="AI147" s="806" t="s">
        <v>81</v>
      </c>
      <c r="AJ147" s="806" t="s">
        <v>1266</v>
      </c>
      <c r="AK147" s="806" t="s">
        <v>519</v>
      </c>
      <c r="AL147" s="806" t="s">
        <v>204</v>
      </c>
      <c r="AM147" s="814">
        <v>2</v>
      </c>
      <c r="AN147" s="806" t="str">
        <f t="shared" si="273"/>
        <v>Definir y aprobar las políticas de Seguridad que soportan el MSPI</v>
      </c>
      <c r="AO147" s="71">
        <f t="shared" si="291"/>
        <v>0</v>
      </c>
      <c r="AP147" s="836" t="s">
        <v>48</v>
      </c>
      <c r="AQ147" s="484">
        <v>2</v>
      </c>
      <c r="AR147" s="806" t="str">
        <f t="shared" si="268"/>
        <v>Definir y aprobar las políticas de Seguridad que soportan el MSPI</v>
      </c>
      <c r="AS147" s="810">
        <f t="shared" si="292"/>
        <v>0</v>
      </c>
      <c r="AT147" s="814">
        <v>2</v>
      </c>
      <c r="AU147" s="826">
        <v>0</v>
      </c>
      <c r="AV147" s="807">
        <f t="shared" si="293"/>
        <v>1</v>
      </c>
      <c r="AW147" s="807" t="e">
        <f t="shared" si="244"/>
        <v>#DIV/0!</v>
      </c>
      <c r="AX147" s="807">
        <f t="shared" si="294"/>
        <v>1</v>
      </c>
      <c r="AY147" s="807" t="e">
        <f t="shared" si="295"/>
        <v>#DIV/0!</v>
      </c>
      <c r="AZ147" s="459" t="s">
        <v>1312</v>
      </c>
      <c r="BA147" s="867">
        <v>0</v>
      </c>
      <c r="BB147" s="806" t="str">
        <f t="shared" si="296"/>
        <v>Definir y aprobar las políticas de Seguridad que soportan el MSPI</v>
      </c>
      <c r="BC147" s="810">
        <v>0</v>
      </c>
      <c r="BD147" s="677">
        <v>0</v>
      </c>
      <c r="BE147" s="826">
        <v>0</v>
      </c>
      <c r="BF147" s="807" t="e">
        <f t="shared" si="247"/>
        <v>#DIV/0!</v>
      </c>
      <c r="BG147" s="807" t="e">
        <f t="shared" si="248"/>
        <v>#DIV/0!</v>
      </c>
      <c r="BH147" s="807">
        <f t="shared" si="249"/>
        <v>1</v>
      </c>
      <c r="BI147" s="807" t="e">
        <f t="shared" si="250"/>
        <v>#DIV/0!</v>
      </c>
      <c r="BJ147" s="808" t="s">
        <v>1657</v>
      </c>
      <c r="BK147" s="867">
        <v>0</v>
      </c>
      <c r="BL147" s="806" t="str">
        <f t="shared" si="270"/>
        <v>Definir y aprobar las políticas de Seguridad que soportan el MSPI</v>
      </c>
      <c r="BM147" s="810">
        <v>0</v>
      </c>
      <c r="BN147" s="814">
        <v>0</v>
      </c>
      <c r="BO147" s="911">
        <v>0</v>
      </c>
      <c r="BP147" s="807" t="e">
        <f t="shared" si="274"/>
        <v>#DIV/0!</v>
      </c>
      <c r="BQ147" s="807" t="e">
        <f t="shared" si="275"/>
        <v>#DIV/0!</v>
      </c>
      <c r="BR147" s="807">
        <f t="shared" si="276"/>
        <v>1</v>
      </c>
      <c r="BS147" s="807" t="e">
        <f t="shared" si="277"/>
        <v>#DIV/0!</v>
      </c>
      <c r="BT147" s="459" t="s">
        <v>1818</v>
      </c>
      <c r="BU147" s="867">
        <v>0</v>
      </c>
      <c r="BV147" s="806" t="str">
        <f t="shared" si="271"/>
        <v>Definir y aprobar las políticas de Seguridad que soportan el MSPI</v>
      </c>
      <c r="BW147" s="826">
        <f t="shared" si="290"/>
        <v>0</v>
      </c>
      <c r="BX147" s="1056">
        <v>0</v>
      </c>
      <c r="BY147" s="1053">
        <v>0</v>
      </c>
      <c r="BZ147" s="805" t="e">
        <f t="shared" si="278"/>
        <v>#DIV/0!</v>
      </c>
      <c r="CA147" s="805" t="e">
        <f t="shared" si="279"/>
        <v>#DIV/0!</v>
      </c>
      <c r="CB147" s="805">
        <f t="shared" si="280"/>
        <v>1</v>
      </c>
      <c r="CC147" s="805" t="e">
        <f t="shared" si="281"/>
        <v>#DIV/0!</v>
      </c>
      <c r="CD147" s="682" t="s">
        <v>1977</v>
      </c>
      <c r="CE147" s="631">
        <f t="shared" si="282"/>
        <v>1</v>
      </c>
      <c r="CF147" s="631" t="str">
        <f t="shared" si="283"/>
        <v>No Prog ni Ejec</v>
      </c>
      <c r="CG147" s="631" t="str">
        <f t="shared" si="284"/>
        <v>No Prog ni Ejec</v>
      </c>
      <c r="CH147" s="631" t="str">
        <f t="shared" si="285"/>
        <v>No Prog ni Ejec</v>
      </c>
      <c r="CI147" s="631" t="str">
        <f t="shared" si="286"/>
        <v>No Prog ni Ejec</v>
      </c>
      <c r="CJ147" s="631" t="str">
        <f t="shared" si="287"/>
        <v>No Prog ni Ejec</v>
      </c>
      <c r="CK147" s="631" t="str">
        <f t="shared" si="288"/>
        <v>No Prog ni Ejec</v>
      </c>
      <c r="CL147" s="685" t="str">
        <f t="shared" si="289"/>
        <v>No Prog ni Ejec</v>
      </c>
      <c r="CM147" s="127">
        <f t="shared" si="272"/>
        <v>0</v>
      </c>
      <c r="CT147" s="121">
        <v>3</v>
      </c>
    </row>
    <row r="148" spans="1:107" s="69" customFormat="1" ht="110.25" customHeight="1" x14ac:dyDescent="0.2">
      <c r="A148" s="813">
        <v>11600</v>
      </c>
      <c r="B148" s="806" t="s">
        <v>4</v>
      </c>
      <c r="C148" s="806" t="s">
        <v>332</v>
      </c>
      <c r="D148" s="822"/>
      <c r="E148" s="822"/>
      <c r="F148" s="822"/>
      <c r="G148" s="822"/>
      <c r="H148" s="822"/>
      <c r="I148" s="822"/>
      <c r="J148" s="822"/>
      <c r="K148" s="822"/>
      <c r="L148" s="822"/>
      <c r="M148" s="822"/>
      <c r="N148" s="822"/>
      <c r="O148" s="822" t="s">
        <v>1017</v>
      </c>
      <c r="P148" s="822"/>
      <c r="Q148" s="806" t="s">
        <v>204</v>
      </c>
      <c r="R148" s="806" t="s">
        <v>204</v>
      </c>
      <c r="S148" s="814" t="s">
        <v>100</v>
      </c>
      <c r="T148" s="806" t="s">
        <v>94</v>
      </c>
      <c r="U148" s="806" t="s">
        <v>204</v>
      </c>
      <c r="V148" s="806" t="s">
        <v>204</v>
      </c>
      <c r="W148" s="814" t="s">
        <v>1115</v>
      </c>
      <c r="X148" s="806" t="s">
        <v>1143</v>
      </c>
      <c r="Y148" s="333" t="s">
        <v>390</v>
      </c>
      <c r="Z148" s="484">
        <v>2</v>
      </c>
      <c r="AA148" s="814" t="s">
        <v>1105</v>
      </c>
      <c r="AB148" s="806" t="s">
        <v>1144</v>
      </c>
      <c r="AC148" s="810">
        <v>0</v>
      </c>
      <c r="AD148" s="811">
        <v>1</v>
      </c>
      <c r="AE148" s="806" t="s">
        <v>18</v>
      </c>
      <c r="AF148" s="806" t="s">
        <v>24</v>
      </c>
      <c r="AG148" s="806" t="s">
        <v>204</v>
      </c>
      <c r="AH148" s="806" t="s">
        <v>633</v>
      </c>
      <c r="AI148" s="806" t="s">
        <v>81</v>
      </c>
      <c r="AJ148" s="806" t="s">
        <v>1266</v>
      </c>
      <c r="AK148" s="806" t="s">
        <v>1145</v>
      </c>
      <c r="AL148" s="806" t="s">
        <v>296</v>
      </c>
      <c r="AM148" s="484">
        <v>2</v>
      </c>
      <c r="AN148" s="806" t="str">
        <f t="shared" si="27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1">
        <f t="shared" si="291"/>
        <v>0</v>
      </c>
      <c r="AP148" s="836" t="s">
        <v>48</v>
      </c>
      <c r="AQ148" s="867">
        <v>0</v>
      </c>
      <c r="AR148" s="806" t="str">
        <f t="shared" si="268"/>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810">
        <f t="shared" si="292"/>
        <v>0</v>
      </c>
      <c r="AT148" s="814">
        <v>0</v>
      </c>
      <c r="AU148" s="826">
        <v>0</v>
      </c>
      <c r="AV148" s="807" t="e">
        <f t="shared" si="293"/>
        <v>#DIV/0!</v>
      </c>
      <c r="AW148" s="807" t="e">
        <f t="shared" si="244"/>
        <v>#DIV/0!</v>
      </c>
      <c r="AX148" s="807">
        <f t="shared" si="294"/>
        <v>0</v>
      </c>
      <c r="AY148" s="807" t="e">
        <f t="shared" si="295"/>
        <v>#DIV/0!</v>
      </c>
      <c r="AZ148" s="459" t="s">
        <v>1311</v>
      </c>
      <c r="BA148" s="484">
        <v>1</v>
      </c>
      <c r="BB148" s="806" t="str">
        <f t="shared" si="29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810">
        <v>0</v>
      </c>
      <c r="BD148" s="868">
        <v>1</v>
      </c>
      <c r="BE148" s="826">
        <v>0</v>
      </c>
      <c r="BF148" s="807">
        <f t="shared" si="247"/>
        <v>1</v>
      </c>
      <c r="BG148" s="807" t="e">
        <f t="shared" si="248"/>
        <v>#DIV/0!</v>
      </c>
      <c r="BH148" s="807">
        <f t="shared" si="249"/>
        <v>0.5</v>
      </c>
      <c r="BI148" s="807" t="e">
        <f t="shared" si="250"/>
        <v>#DIV/0!</v>
      </c>
      <c r="BJ148" s="808" t="s">
        <v>1739</v>
      </c>
      <c r="BK148" s="867">
        <v>0</v>
      </c>
      <c r="BL148" s="806"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810">
        <v>0</v>
      </c>
      <c r="BN148" s="814">
        <v>0</v>
      </c>
      <c r="BO148" s="911">
        <v>0</v>
      </c>
      <c r="BP148" s="807" t="e">
        <f>+(BN148/BK148)</f>
        <v>#DIV/0!</v>
      </c>
      <c r="BQ148" s="807" t="e">
        <f>+(BO148/BM148)</f>
        <v>#DIV/0!</v>
      </c>
      <c r="BR148" s="807">
        <f>+(BD148+AT148+BN148)/AM148</f>
        <v>0.5</v>
      </c>
      <c r="BS148" s="807" t="e">
        <f>+(BE148+AU148+BO148)/AO148</f>
        <v>#DIV/0!</v>
      </c>
      <c r="BT148" s="459" t="s">
        <v>1818</v>
      </c>
      <c r="BU148" s="484">
        <v>1</v>
      </c>
      <c r="BV148" s="806" t="str">
        <f t="shared" si="27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826">
        <f t="shared" si="290"/>
        <v>0</v>
      </c>
      <c r="BX148" s="1056">
        <v>1</v>
      </c>
      <c r="BY148" s="1053">
        <v>0</v>
      </c>
      <c r="BZ148" s="805">
        <f t="shared" si="278"/>
        <v>1</v>
      </c>
      <c r="CA148" s="805" t="e">
        <f t="shared" si="279"/>
        <v>#DIV/0!</v>
      </c>
      <c r="CB148" s="805">
        <f t="shared" si="280"/>
        <v>1</v>
      </c>
      <c r="CC148" s="805" t="e">
        <f t="shared" si="281"/>
        <v>#DIV/0!</v>
      </c>
      <c r="CD148" s="682" t="s">
        <v>1978</v>
      </c>
      <c r="CE148" s="631" t="str">
        <f t="shared" si="282"/>
        <v>No Prog ni Ejec</v>
      </c>
      <c r="CF148" s="631" t="str">
        <f t="shared" si="283"/>
        <v>No Prog ni Ejec</v>
      </c>
      <c r="CG148" s="631">
        <f t="shared" si="284"/>
        <v>1</v>
      </c>
      <c r="CH148" s="631" t="str">
        <f t="shared" si="285"/>
        <v>No Prog ni Ejec</v>
      </c>
      <c r="CI148" s="631" t="str">
        <f t="shared" si="286"/>
        <v>No Prog ni Ejec</v>
      </c>
      <c r="CJ148" s="631" t="str">
        <f t="shared" si="287"/>
        <v>No Prog ni Ejec</v>
      </c>
      <c r="CK148" s="631">
        <f t="shared" si="288"/>
        <v>1</v>
      </c>
      <c r="CL148" s="685" t="str">
        <f t="shared" si="289"/>
        <v>No Prog ni Ejec</v>
      </c>
      <c r="CM148" s="127">
        <f t="shared" si="272"/>
        <v>0</v>
      </c>
      <c r="CT148" s="121">
        <v>3</v>
      </c>
    </row>
    <row r="149" spans="1:107" s="69" customFormat="1" ht="326.25" customHeight="1" x14ac:dyDescent="0.2">
      <c r="A149" s="813">
        <v>11600</v>
      </c>
      <c r="B149" s="806" t="s">
        <v>4</v>
      </c>
      <c r="C149" s="806" t="s">
        <v>332</v>
      </c>
      <c r="D149" s="822"/>
      <c r="E149" s="822"/>
      <c r="F149" s="822"/>
      <c r="G149" s="822"/>
      <c r="H149" s="822"/>
      <c r="I149" s="822"/>
      <c r="J149" s="822"/>
      <c r="K149" s="822"/>
      <c r="L149" s="822"/>
      <c r="M149" s="822"/>
      <c r="N149" s="822"/>
      <c r="O149" s="822" t="s">
        <v>1017</v>
      </c>
      <c r="P149" s="822"/>
      <c r="Q149" s="806" t="s">
        <v>204</v>
      </c>
      <c r="R149" s="806" t="s">
        <v>204</v>
      </c>
      <c r="S149" s="814" t="s">
        <v>100</v>
      </c>
      <c r="T149" s="806" t="s">
        <v>94</v>
      </c>
      <c r="U149" s="806" t="s">
        <v>204</v>
      </c>
      <c r="V149" s="806" t="s">
        <v>204</v>
      </c>
      <c r="W149" s="814" t="s">
        <v>579</v>
      </c>
      <c r="X149" s="806" t="s">
        <v>515</v>
      </c>
      <c r="Y149" s="333" t="s">
        <v>390</v>
      </c>
      <c r="Z149" s="814">
        <v>19</v>
      </c>
      <c r="AA149" s="814" t="s">
        <v>578</v>
      </c>
      <c r="AB149" s="806" t="s">
        <v>518</v>
      </c>
      <c r="AC149" s="810">
        <v>0</v>
      </c>
      <c r="AD149" s="811">
        <v>1</v>
      </c>
      <c r="AE149" s="806" t="s">
        <v>17</v>
      </c>
      <c r="AF149" s="806" t="s">
        <v>297</v>
      </c>
      <c r="AG149" s="806" t="s">
        <v>204</v>
      </c>
      <c r="AH149" s="806" t="s">
        <v>633</v>
      </c>
      <c r="AI149" s="806" t="s">
        <v>81</v>
      </c>
      <c r="AJ149" s="806" t="s">
        <v>1277</v>
      </c>
      <c r="AK149" s="806" t="s">
        <v>520</v>
      </c>
      <c r="AL149" s="806" t="s">
        <v>204</v>
      </c>
      <c r="AM149" s="814">
        <v>19</v>
      </c>
      <c r="AN149" s="806" t="str">
        <f t="shared" si="273"/>
        <v>Elaborar y aprobar de los procedimientos relacionados con Seguridad de la Información que corresponden por competencias  directamente a la DGTIC.</v>
      </c>
      <c r="AO149" s="71">
        <f t="shared" si="291"/>
        <v>0</v>
      </c>
      <c r="AP149" s="836" t="s">
        <v>48</v>
      </c>
      <c r="AQ149" s="484">
        <v>4</v>
      </c>
      <c r="AR149" s="806" t="str">
        <f t="shared" si="268"/>
        <v>Elaborar y aprobar de los procedimientos relacionados con Seguridad de la Información que corresponden por competencias  directamente a la DGTIC.</v>
      </c>
      <c r="AS149" s="810">
        <f t="shared" si="292"/>
        <v>0</v>
      </c>
      <c r="AT149" s="814">
        <v>4</v>
      </c>
      <c r="AU149" s="826">
        <v>0</v>
      </c>
      <c r="AV149" s="807">
        <f t="shared" si="293"/>
        <v>1</v>
      </c>
      <c r="AW149" s="807" t="e">
        <f t="shared" si="244"/>
        <v>#DIV/0!</v>
      </c>
      <c r="AX149" s="807">
        <f t="shared" si="294"/>
        <v>0.21052631578947367</v>
      </c>
      <c r="AY149" s="807" t="e">
        <f t="shared" si="295"/>
        <v>#DIV/0!</v>
      </c>
      <c r="AZ149" s="459" t="s">
        <v>1313</v>
      </c>
      <c r="BA149" s="867">
        <v>0</v>
      </c>
      <c r="BB149" s="806" t="str">
        <f t="shared" si="296"/>
        <v>Elaborar y aprobar de los procedimientos relacionados con Seguridad de la Información que corresponden por competencias  directamente a la DGTIC.</v>
      </c>
      <c r="BC149" s="810">
        <v>0</v>
      </c>
      <c r="BD149" s="868">
        <v>0</v>
      </c>
      <c r="BE149" s="826">
        <v>0</v>
      </c>
      <c r="BF149" s="807" t="e">
        <f t="shared" si="247"/>
        <v>#DIV/0!</v>
      </c>
      <c r="BG149" s="807" t="e">
        <f t="shared" si="248"/>
        <v>#DIV/0!</v>
      </c>
      <c r="BH149" s="807">
        <f t="shared" si="249"/>
        <v>0.21052631578947367</v>
      </c>
      <c r="BI149" s="807" t="e">
        <f t="shared" si="250"/>
        <v>#DIV/0!</v>
      </c>
      <c r="BJ149" s="808" t="s">
        <v>1654</v>
      </c>
      <c r="BK149" s="484">
        <v>5</v>
      </c>
      <c r="BL149" s="806" t="str">
        <f t="shared" si="270"/>
        <v>Elaborar y aprobar de los procedimientos relacionados con Seguridad de la Información que corresponden por competencias  directamente a la DGTIC.</v>
      </c>
      <c r="BM149" s="810">
        <v>0</v>
      </c>
      <c r="BN149" s="814">
        <v>5</v>
      </c>
      <c r="BO149" s="911">
        <v>0</v>
      </c>
      <c r="BP149" s="807">
        <f>+(BN149/BK149)</f>
        <v>1</v>
      </c>
      <c r="BQ149" s="807" t="e">
        <f>+(BO149/BM149)</f>
        <v>#DIV/0!</v>
      </c>
      <c r="BR149" s="807">
        <f>+(BD149+AT149+BN149)/AM149</f>
        <v>0.47368421052631576</v>
      </c>
      <c r="BS149" s="807" t="e">
        <f>+(BE149+AU149+BO149)/AO149</f>
        <v>#DIV/0!</v>
      </c>
      <c r="BT149" s="459" t="s">
        <v>1819</v>
      </c>
      <c r="BU149" s="484">
        <v>10</v>
      </c>
      <c r="BV149" s="806" t="str">
        <f t="shared" si="271"/>
        <v>Elaborar y aprobar de los procedimientos relacionados con Seguridad de la Información que corresponden por competencias  directamente a la DGTIC.</v>
      </c>
      <c r="BW149" s="826">
        <f t="shared" si="290"/>
        <v>0</v>
      </c>
      <c r="BX149" s="1056">
        <v>10</v>
      </c>
      <c r="BY149" s="1053">
        <v>0</v>
      </c>
      <c r="BZ149" s="805">
        <f>+(BX149/BU149)</f>
        <v>1</v>
      </c>
      <c r="CA149" s="805" t="e">
        <f>+(BY149/BW149)</f>
        <v>#DIV/0!</v>
      </c>
      <c r="CB149" s="805">
        <f>+(BD149+AT149+BN149+BX149)/AM149</f>
        <v>1</v>
      </c>
      <c r="CC149" s="805" t="e">
        <f>+(BE149+AU149+BO149+BY149)/AO149</f>
        <v>#DIV/0!</v>
      </c>
      <c r="CD149" s="682" t="s">
        <v>1979</v>
      </c>
      <c r="CE149" s="631">
        <f>IF(AND(AQ149=0,AT149=0),"No Prog ni Ejec",IF(AQ149=0,CONCATENATE("No Prog, Ejec=  ",AT149),AT149/AQ149))</f>
        <v>1</v>
      </c>
      <c r="CF149" s="631" t="str">
        <f>IF(AND(AS149=0,AU149=0),"No Prog ni Ejec",IF(AS149=0,CONCATENATE("No Prog, Ejec=  ",AU149),AU149/AS149))</f>
        <v>No Prog ni Ejec</v>
      </c>
      <c r="CG149" s="631" t="str">
        <f>IF(AND(BA149=0,BD149=0),"No Prog ni Ejec",IF(BA149=0,CONCATENATE("No Prog, Ejec=  ",BD149),BD149/BA149))</f>
        <v>No Prog ni Ejec</v>
      </c>
      <c r="CH149" s="631" t="str">
        <f>IF(AND(BC149=0,BE149=0),"No Prog ni Ejec",IF(BC149=0,CONCATENATE("No Prog, Ejec=  ",BE149),BE149/BC149))</f>
        <v>No Prog ni Ejec</v>
      </c>
      <c r="CI149" s="631">
        <f>IF(AND(BK149=0,BN149=0),"No Prog ni Ejec",IF(BK149=0,CONCATENATE("No Prog, Ejec=  ",BN149),BN149/BK149))</f>
        <v>1</v>
      </c>
      <c r="CJ149" s="631" t="str">
        <f>IF(AND(BM149=0,BO149=0),"No Prog ni Ejec",IF(BM149=0,CONCATENATE("No Prog, Ejec=  ",BO149),BO149/BM149))</f>
        <v>No Prog ni Ejec</v>
      </c>
      <c r="CK149" s="631">
        <f>IF(AND(BU149=0,BX149=0),"No Prog ni Ejec",IF(BU149=0,CONCATENATE("No Prog, Ejec=  ",BX149),BX149/BU149))</f>
        <v>1</v>
      </c>
      <c r="CL149" s="685" t="str">
        <f>IF(AND(BW149=0,BY149=0),"No Prog ni Ejec",IF(BW149=0,CONCATENATE("No Prog, Ejec=  ",BY149),BY149/BW149))</f>
        <v>No Prog ni Ejec</v>
      </c>
      <c r="CM149" s="127">
        <f t="shared" si="272"/>
        <v>0</v>
      </c>
      <c r="CT149" s="121">
        <v>3</v>
      </c>
    </row>
    <row r="150" spans="1:107" s="69" customFormat="1" ht="141" customHeight="1" x14ac:dyDescent="0.2">
      <c r="A150" s="813">
        <v>11600</v>
      </c>
      <c r="B150" s="806" t="s">
        <v>4</v>
      </c>
      <c r="C150" s="806" t="s">
        <v>1146</v>
      </c>
      <c r="D150" s="822"/>
      <c r="E150" s="822"/>
      <c r="F150" s="822"/>
      <c r="G150" s="822" t="s">
        <v>1017</v>
      </c>
      <c r="H150" s="822"/>
      <c r="I150" s="822"/>
      <c r="J150" s="822"/>
      <c r="K150" s="822"/>
      <c r="L150" s="822"/>
      <c r="M150" s="822"/>
      <c r="N150" s="822"/>
      <c r="O150" s="822" t="s">
        <v>1017</v>
      </c>
      <c r="P150" s="822"/>
      <c r="Q150" s="806" t="s">
        <v>204</v>
      </c>
      <c r="R150" s="806" t="s">
        <v>204</v>
      </c>
      <c r="S150" s="814" t="s">
        <v>100</v>
      </c>
      <c r="T150" s="806" t="s">
        <v>94</v>
      </c>
      <c r="U150" s="806" t="s">
        <v>204</v>
      </c>
      <c r="V150" s="806" t="s">
        <v>204</v>
      </c>
      <c r="W150" s="814" t="s">
        <v>581</v>
      </c>
      <c r="X150" s="806" t="s">
        <v>521</v>
      </c>
      <c r="Y150" s="333" t="s">
        <v>390</v>
      </c>
      <c r="Z150" s="814">
        <v>4</v>
      </c>
      <c r="AA150" s="814" t="s">
        <v>580</v>
      </c>
      <c r="AB150" s="806" t="s">
        <v>523</v>
      </c>
      <c r="AC150" s="810">
        <v>0</v>
      </c>
      <c r="AD150" s="811">
        <v>1</v>
      </c>
      <c r="AE150" s="806" t="s">
        <v>16</v>
      </c>
      <c r="AF150" s="806" t="s">
        <v>21</v>
      </c>
      <c r="AG150" s="806" t="s">
        <v>204</v>
      </c>
      <c r="AH150" s="806" t="s">
        <v>633</v>
      </c>
      <c r="AI150" s="806" t="s">
        <v>77</v>
      </c>
      <c r="AJ150" s="806" t="s">
        <v>204</v>
      </c>
      <c r="AK150" s="806" t="s">
        <v>525</v>
      </c>
      <c r="AL150" s="806" t="s">
        <v>43</v>
      </c>
      <c r="AM150" s="814">
        <v>4</v>
      </c>
      <c r="AN150" s="806" t="str">
        <f t="shared" si="273"/>
        <v>Realizar campaña de sensibilización en Seguridad y Privacidad de la Información para Servidores Públicos y Contratistas</v>
      </c>
      <c r="AO150" s="71">
        <f t="shared" si="291"/>
        <v>0</v>
      </c>
      <c r="AP150" s="836" t="s">
        <v>48</v>
      </c>
      <c r="AQ150" s="484">
        <v>1</v>
      </c>
      <c r="AR150" s="806" t="str">
        <f t="shared" si="268"/>
        <v>Realizar campaña de sensibilización en Seguridad y Privacidad de la Información para Servidores Públicos y Contratistas</v>
      </c>
      <c r="AS150" s="810">
        <f t="shared" si="292"/>
        <v>0</v>
      </c>
      <c r="AT150" s="814">
        <v>1</v>
      </c>
      <c r="AU150" s="826">
        <v>0</v>
      </c>
      <c r="AV150" s="807">
        <f t="shared" si="293"/>
        <v>1</v>
      </c>
      <c r="AW150" s="807" t="e">
        <f t="shared" si="244"/>
        <v>#DIV/0!</v>
      </c>
      <c r="AX150" s="807">
        <f t="shared" si="294"/>
        <v>0.25</v>
      </c>
      <c r="AY150" s="807" t="e">
        <f t="shared" si="295"/>
        <v>#DIV/0!</v>
      </c>
      <c r="AZ150" s="459" t="s">
        <v>1314</v>
      </c>
      <c r="BA150" s="484">
        <v>1</v>
      </c>
      <c r="BB150" s="806" t="str">
        <f t="shared" si="296"/>
        <v>Realizar campaña de sensibilización en Seguridad y Privacidad de la Información para Servidores Públicos y Contratistas</v>
      </c>
      <c r="BC150" s="810">
        <v>0</v>
      </c>
      <c r="BD150" s="868">
        <v>1</v>
      </c>
      <c r="BE150" s="826">
        <v>0</v>
      </c>
      <c r="BF150" s="807">
        <f t="shared" si="247"/>
        <v>1</v>
      </c>
      <c r="BG150" s="807" t="e">
        <f t="shared" si="248"/>
        <v>#DIV/0!</v>
      </c>
      <c r="BH150" s="807">
        <f t="shared" si="249"/>
        <v>0.5</v>
      </c>
      <c r="BI150" s="807" t="e">
        <f t="shared" si="250"/>
        <v>#DIV/0!</v>
      </c>
      <c r="BJ150" s="808" t="s">
        <v>1659</v>
      </c>
      <c r="BK150" s="484">
        <v>1</v>
      </c>
      <c r="BL150" s="806" t="str">
        <f t="shared" si="270"/>
        <v>Realizar campaña de sensibilización en Seguridad y Privacidad de la Información para Servidores Públicos y Contratistas</v>
      </c>
      <c r="BM150" s="810">
        <v>0</v>
      </c>
      <c r="BN150" s="814">
        <v>1</v>
      </c>
      <c r="BO150" s="911">
        <v>0</v>
      </c>
      <c r="BP150" s="807">
        <f>+(BN150/BK150)</f>
        <v>1</v>
      </c>
      <c r="BQ150" s="807" t="e">
        <f>+(BO150/BM150)</f>
        <v>#DIV/0!</v>
      </c>
      <c r="BR150" s="807">
        <f>+(BD150+AT150+BN150)/AM150</f>
        <v>0.75</v>
      </c>
      <c r="BS150" s="807" t="e">
        <f>+(BE150+AU150+BO150)/AO150</f>
        <v>#DIV/0!</v>
      </c>
      <c r="BT150" s="459" t="s">
        <v>1820</v>
      </c>
      <c r="BU150" s="484">
        <v>1</v>
      </c>
      <c r="BV150" s="806" t="str">
        <f t="shared" si="271"/>
        <v>Realizar campaña de sensibilización en Seguridad y Privacidad de la Información para Servidores Públicos y Contratistas</v>
      </c>
      <c r="BW150" s="826">
        <f t="shared" si="290"/>
        <v>0</v>
      </c>
      <c r="BX150" s="1056">
        <v>1</v>
      </c>
      <c r="BY150" s="1053">
        <v>0</v>
      </c>
      <c r="BZ150" s="805">
        <f>+(BX150/BU150)</f>
        <v>1</v>
      </c>
      <c r="CA150" s="805" t="e">
        <f>+(BY150/BW150)</f>
        <v>#DIV/0!</v>
      </c>
      <c r="CB150" s="805">
        <f>+(BD150+AT150+BN150+BX150)/AM150</f>
        <v>1</v>
      </c>
      <c r="CC150" s="805" t="e">
        <f>+(BE150+AU150+BO150+BY150)/AO150</f>
        <v>#DIV/0!</v>
      </c>
      <c r="CD150" s="682" t="s">
        <v>1980</v>
      </c>
      <c r="CE150" s="631">
        <f>IF(AND(AQ150=0,AT150=0),"No Prog ni Ejec",IF(AQ150=0,CONCATENATE("No Prog, Ejec=  ",AT150),AT150/AQ150))</f>
        <v>1</v>
      </c>
      <c r="CF150" s="631" t="str">
        <f>IF(AND(AS150=0,AU150=0),"No Prog ni Ejec",IF(AS150=0,CONCATENATE("No Prog, Ejec=  ",AU150),AU150/AS150))</f>
        <v>No Prog ni Ejec</v>
      </c>
      <c r="CG150" s="631">
        <f>IF(AND(BA150=0,BD150=0),"No Prog ni Ejec",IF(BA150=0,CONCATENATE("No Prog, Ejec=  ",BD150),BD150/BA150))</f>
        <v>1</v>
      </c>
      <c r="CH150" s="631" t="str">
        <f>IF(AND(BC150=0,BE150=0),"No Prog ni Ejec",IF(BC150=0,CONCATENATE("No Prog, Ejec=  ",BE150),BE150/BC150))</f>
        <v>No Prog ni Ejec</v>
      </c>
      <c r="CI150" s="631">
        <f>IF(AND(BK150=0,BN150=0),"No Prog ni Ejec",IF(BK150=0,CONCATENATE("No Prog, Ejec=  ",BN150),BN150/BK150))</f>
        <v>1</v>
      </c>
      <c r="CJ150" s="631" t="str">
        <f>IF(AND(BM150=0,BO150=0),"No Prog ni Ejec",IF(BM150=0,CONCATENATE("No Prog, Ejec=  ",BO150),BO150/BM150))</f>
        <v>No Prog ni Ejec</v>
      </c>
      <c r="CK150" s="631">
        <f>IF(AND(BU150=0,BX150=0),"No Prog ni Ejec",IF(BU150=0,CONCATENATE("No Prog, Ejec=  ",BX150),BX150/BU150))</f>
        <v>1</v>
      </c>
      <c r="CL150" s="685" t="str">
        <f>IF(AND(BW150=0,BY150=0),"No Prog ni Ejec",IF(BW150=0,CONCATENATE("No Prog, Ejec=  ",BY150),BY150/BW150))</f>
        <v>No Prog ni Ejec</v>
      </c>
      <c r="CM150" s="127">
        <f t="shared" si="272"/>
        <v>0</v>
      </c>
      <c r="CT150" s="121">
        <v>3</v>
      </c>
    </row>
    <row r="151" spans="1:107" s="69" customFormat="1" ht="111" customHeight="1" x14ac:dyDescent="0.2">
      <c r="A151" s="813">
        <v>11600</v>
      </c>
      <c r="B151" s="806" t="s">
        <v>4</v>
      </c>
      <c r="C151" s="806" t="s">
        <v>1146</v>
      </c>
      <c r="D151" s="822"/>
      <c r="E151" s="822"/>
      <c r="F151" s="822"/>
      <c r="G151" s="822" t="s">
        <v>1017</v>
      </c>
      <c r="H151" s="822"/>
      <c r="I151" s="822"/>
      <c r="J151" s="822"/>
      <c r="K151" s="822"/>
      <c r="L151" s="822"/>
      <c r="M151" s="822"/>
      <c r="N151" s="822"/>
      <c r="O151" s="822" t="s">
        <v>1017</v>
      </c>
      <c r="P151" s="822"/>
      <c r="Q151" s="806" t="s">
        <v>204</v>
      </c>
      <c r="R151" s="806" t="s">
        <v>204</v>
      </c>
      <c r="S151" s="814" t="s">
        <v>100</v>
      </c>
      <c r="T151" s="806" t="s">
        <v>94</v>
      </c>
      <c r="U151" s="806" t="s">
        <v>204</v>
      </c>
      <c r="V151" s="806" t="s">
        <v>204</v>
      </c>
      <c r="W151" s="814" t="s">
        <v>1116</v>
      </c>
      <c r="X151" s="806" t="s">
        <v>522</v>
      </c>
      <c r="Y151" s="333" t="s">
        <v>390</v>
      </c>
      <c r="Z151" s="814">
        <v>2</v>
      </c>
      <c r="AA151" s="814" t="s">
        <v>1106</v>
      </c>
      <c r="AB151" s="806" t="s">
        <v>524</v>
      </c>
      <c r="AC151" s="810">
        <v>0</v>
      </c>
      <c r="AD151" s="811">
        <v>1</v>
      </c>
      <c r="AE151" s="806" t="s">
        <v>16</v>
      </c>
      <c r="AF151" s="806" t="s">
        <v>21</v>
      </c>
      <c r="AG151" s="806" t="s">
        <v>204</v>
      </c>
      <c r="AH151" s="806" t="s">
        <v>633</v>
      </c>
      <c r="AI151" s="806" t="s">
        <v>77</v>
      </c>
      <c r="AJ151" s="806" t="s">
        <v>1276</v>
      </c>
      <c r="AK151" s="806" t="s">
        <v>526</v>
      </c>
      <c r="AL151" s="806" t="s">
        <v>43</v>
      </c>
      <c r="AM151" s="814">
        <v>2</v>
      </c>
      <c r="AN151" s="806" t="str">
        <f t="shared" si="273"/>
        <v>Realizar jornadas de Capacitación en Seguridad y Privacidad de la Información para Servidores Públicos y Contratistas</v>
      </c>
      <c r="AO151" s="71">
        <f t="shared" si="291"/>
        <v>0</v>
      </c>
      <c r="AP151" s="836" t="s">
        <v>48</v>
      </c>
      <c r="AQ151" s="867">
        <v>0</v>
      </c>
      <c r="AR151" s="806" t="str">
        <f t="shared" si="268"/>
        <v>Realizar jornadas de Capacitación en Seguridad y Privacidad de la Información para Servidores Públicos y Contratistas</v>
      </c>
      <c r="AS151" s="810">
        <f t="shared" si="292"/>
        <v>0</v>
      </c>
      <c r="AT151" s="814">
        <v>0</v>
      </c>
      <c r="AU151" s="826">
        <v>0</v>
      </c>
      <c r="AV151" s="807" t="e">
        <f t="shared" si="293"/>
        <v>#DIV/0!</v>
      </c>
      <c r="AW151" s="807" t="e">
        <f t="shared" si="244"/>
        <v>#DIV/0!</v>
      </c>
      <c r="AX151" s="807">
        <f t="shared" si="294"/>
        <v>0</v>
      </c>
      <c r="AY151" s="807" t="e">
        <f t="shared" si="295"/>
        <v>#DIV/0!</v>
      </c>
      <c r="AZ151" s="459" t="s">
        <v>1315</v>
      </c>
      <c r="BA151" s="484">
        <v>1</v>
      </c>
      <c r="BB151" s="806" t="str">
        <f t="shared" si="296"/>
        <v>Realizar jornadas de Capacitación en Seguridad y Privacidad de la Información para Servidores Públicos y Contratistas</v>
      </c>
      <c r="BC151" s="810">
        <v>0</v>
      </c>
      <c r="BD151" s="868">
        <v>1</v>
      </c>
      <c r="BE151" s="826">
        <v>0</v>
      </c>
      <c r="BF151" s="807">
        <f t="shared" si="247"/>
        <v>1</v>
      </c>
      <c r="BG151" s="807" t="e">
        <f t="shared" si="248"/>
        <v>#DIV/0!</v>
      </c>
      <c r="BH151" s="807">
        <f t="shared" si="249"/>
        <v>0.5</v>
      </c>
      <c r="BI151" s="807" t="e">
        <f t="shared" si="250"/>
        <v>#DIV/0!</v>
      </c>
      <c r="BJ151" s="808" t="s">
        <v>1660</v>
      </c>
      <c r="BK151" s="867">
        <v>0</v>
      </c>
      <c r="BL151" s="806" t="str">
        <f t="shared" si="270"/>
        <v>Realizar jornadas de Capacitación en Seguridad y Privacidad de la Información para Servidores Públicos y Contratistas</v>
      </c>
      <c r="BM151" s="810">
        <v>0</v>
      </c>
      <c r="BN151" s="814">
        <v>0</v>
      </c>
      <c r="BO151" s="911">
        <v>0</v>
      </c>
      <c r="BP151" s="807" t="e">
        <f>+(BN151/BK151)</f>
        <v>#DIV/0!</v>
      </c>
      <c r="BQ151" s="807" t="e">
        <f>+(BO151/BM151)</f>
        <v>#DIV/0!</v>
      </c>
      <c r="BR151" s="807">
        <f>+(BD151+AT151+BN151)/AM151</f>
        <v>0.5</v>
      </c>
      <c r="BS151" s="807" t="e">
        <f>+(BE151+AU151+BO151)/AO151</f>
        <v>#DIV/0!</v>
      </c>
      <c r="BT151" s="459" t="s">
        <v>1818</v>
      </c>
      <c r="BU151" s="484">
        <v>1</v>
      </c>
      <c r="BV151" s="806" t="str">
        <f t="shared" si="271"/>
        <v>Realizar jornadas de Capacitación en Seguridad y Privacidad de la Información para Servidores Públicos y Contratistas</v>
      </c>
      <c r="BW151" s="826">
        <f t="shared" si="290"/>
        <v>0</v>
      </c>
      <c r="BX151" s="1056">
        <v>1</v>
      </c>
      <c r="BY151" s="1053">
        <v>0</v>
      </c>
      <c r="BZ151" s="805">
        <f>+(BX151/BU151)</f>
        <v>1</v>
      </c>
      <c r="CA151" s="805" t="e">
        <f>+(BY151/BW151)</f>
        <v>#DIV/0!</v>
      </c>
      <c r="CB151" s="805">
        <f>+(BD151+AT151+BN151+BX151)/AM151</f>
        <v>1</v>
      </c>
      <c r="CC151" s="805" t="e">
        <f>+(BE151+AU151+BO151+BY151)/AO151</f>
        <v>#DIV/0!</v>
      </c>
      <c r="CD151" s="682" t="s">
        <v>1981</v>
      </c>
      <c r="CE151" s="631" t="str">
        <f>IF(AND(AQ151=0,AT151=0),"No Prog ni Ejec",IF(AQ151=0,CONCATENATE("No Prog, Ejec=  ",AT151),AT151/AQ151))</f>
        <v>No Prog ni Ejec</v>
      </c>
      <c r="CF151" s="631" t="str">
        <f>IF(AND(AS151=0,AU151=0),"No Prog ni Ejec",IF(AS151=0,CONCATENATE("No Prog, Ejec=  ",AU151),AU151/AS151))</f>
        <v>No Prog ni Ejec</v>
      </c>
      <c r="CG151" s="631">
        <f>IF(AND(BA151=0,BD151=0),"No Prog ni Ejec",IF(BA151=0,CONCATENATE("No Prog, Ejec=  ",BD151),BD151/BA151))</f>
        <v>1</v>
      </c>
      <c r="CH151" s="631" t="str">
        <f>IF(AND(BC151=0,BE151=0),"No Prog ni Ejec",IF(BC151=0,CONCATENATE("No Prog, Ejec=  ",BE151),BE151/BC151))</f>
        <v>No Prog ni Ejec</v>
      </c>
      <c r="CI151" s="631" t="str">
        <f>IF(AND(BK151=0,BN151=0),"No Prog ni Ejec",IF(BK151=0,CONCATENATE("No Prog, Ejec=  ",BN151),BN151/BK151))</f>
        <v>No Prog ni Ejec</v>
      </c>
      <c r="CJ151" s="631" t="str">
        <f>IF(AND(BM151=0,BO151=0),"No Prog ni Ejec",IF(BM151=0,CONCATENATE("No Prog, Ejec=  ",BO151),BO151/BM151))</f>
        <v>No Prog ni Ejec</v>
      </c>
      <c r="CK151" s="631">
        <f>IF(AND(BU151=0,BX151=0),"No Prog ni Ejec",IF(BU151=0,CONCATENATE("No Prog, Ejec=  ",BX151),BX151/BU151))</f>
        <v>1</v>
      </c>
      <c r="CL151" s="685" t="str">
        <f>IF(AND(BW151=0,BY151=0),"No Prog ni Ejec",IF(BW151=0,CONCATENATE("No Prog, Ejec=  ",BY151),BY151/BW151))</f>
        <v>No Prog ni Ejec</v>
      </c>
      <c r="CM151" s="127">
        <f t="shared" si="272"/>
        <v>0</v>
      </c>
      <c r="CT151" s="121">
        <v>3</v>
      </c>
    </row>
    <row r="152" spans="1:107" s="77" customFormat="1" ht="99" customHeight="1" x14ac:dyDescent="0.2">
      <c r="A152" s="813">
        <v>12000</v>
      </c>
      <c r="B152" s="806" t="s">
        <v>15</v>
      </c>
      <c r="C152" s="806" t="s">
        <v>336</v>
      </c>
      <c r="D152" s="822" t="s">
        <v>1017</v>
      </c>
      <c r="E152" s="822"/>
      <c r="F152" s="822"/>
      <c r="G152" s="822"/>
      <c r="H152" s="822"/>
      <c r="I152" s="822"/>
      <c r="J152" s="822"/>
      <c r="K152" s="822"/>
      <c r="L152" s="822"/>
      <c r="M152" s="822"/>
      <c r="N152" s="822"/>
      <c r="O152" s="822"/>
      <c r="P152" s="822"/>
      <c r="Q152" s="806" t="s">
        <v>1123</v>
      </c>
      <c r="R152" s="806" t="s">
        <v>1618</v>
      </c>
      <c r="S152" s="814" t="s">
        <v>53</v>
      </c>
      <c r="T152" s="806" t="s">
        <v>94</v>
      </c>
      <c r="U152" s="806" t="s">
        <v>204</v>
      </c>
      <c r="V152" s="806" t="s">
        <v>204</v>
      </c>
      <c r="W152" s="814" t="s">
        <v>883</v>
      </c>
      <c r="X152" s="806" t="s">
        <v>528</v>
      </c>
      <c r="Y152" s="817" t="s">
        <v>390</v>
      </c>
      <c r="Z152" s="814">
        <v>1</v>
      </c>
      <c r="AA152" s="814" t="s">
        <v>881</v>
      </c>
      <c r="AB152" s="806" t="s">
        <v>529</v>
      </c>
      <c r="AC152" s="810">
        <v>0</v>
      </c>
      <c r="AD152" s="811">
        <v>1</v>
      </c>
      <c r="AE152" s="806" t="s">
        <v>17</v>
      </c>
      <c r="AF152" s="806" t="s">
        <v>295</v>
      </c>
      <c r="AG152" s="806" t="s">
        <v>204</v>
      </c>
      <c r="AH152" s="806" t="s">
        <v>633</v>
      </c>
      <c r="AI152" s="806" t="s">
        <v>1039</v>
      </c>
      <c r="AJ152" s="806" t="s">
        <v>1266</v>
      </c>
      <c r="AK152" s="806" t="s">
        <v>530</v>
      </c>
      <c r="AL152" s="806" t="s">
        <v>204</v>
      </c>
      <c r="AM152" s="814">
        <v>1</v>
      </c>
      <c r="AN152" s="806" t="str">
        <f t="shared" ref="AN152:AN164" si="297">+AB152</f>
        <v>Actualiza y formalizar la Política del Sistema Integrado de Administración de Riesgos de la ADRES.</v>
      </c>
      <c r="AO152" s="812">
        <f t="shared" ref="AO152:AO164" si="298">+AC152</f>
        <v>0</v>
      </c>
      <c r="AP152" s="836" t="s">
        <v>48</v>
      </c>
      <c r="AQ152" s="66">
        <v>0</v>
      </c>
      <c r="AR152" s="806" t="str">
        <f t="shared" ref="AR152:AR165" si="299">+AN152</f>
        <v>Actualiza y formalizar la Política del Sistema Integrado de Administración de Riesgos de la ADRES.</v>
      </c>
      <c r="AS152" s="810">
        <f t="shared" ref="AS152:AS163" si="300">+AO152/4</f>
        <v>0</v>
      </c>
      <c r="AT152" s="814">
        <v>0</v>
      </c>
      <c r="AU152" s="826">
        <v>0</v>
      </c>
      <c r="AV152" s="807" t="e">
        <f t="shared" ref="AV152:AV165" si="301">+(AT152/AQ152)</f>
        <v>#DIV/0!</v>
      </c>
      <c r="AW152" s="807" t="e">
        <f t="shared" ref="AW152:AW165" si="302">+(AU152/AS152)</f>
        <v>#DIV/0!</v>
      </c>
      <c r="AX152" s="807">
        <f t="shared" ref="AX152:AX165" si="303">+(AT152/AM152)</f>
        <v>0</v>
      </c>
      <c r="AY152" s="807" t="e">
        <f t="shared" ref="AY152:AY165" si="304">+(AU152/AO152)</f>
        <v>#DIV/0!</v>
      </c>
      <c r="AZ152" s="806" t="s">
        <v>1369</v>
      </c>
      <c r="BA152" s="66">
        <v>1</v>
      </c>
      <c r="BB152" s="806" t="str">
        <f t="shared" ref="BB152:BB165" si="305">+AN152</f>
        <v>Actualiza y formalizar la Política del Sistema Integrado de Administración de Riesgos de la ADRES.</v>
      </c>
      <c r="BC152" s="810">
        <f t="shared" ref="BC152:BC163" si="306">+AO152/4</f>
        <v>0</v>
      </c>
      <c r="BD152" s="817">
        <v>1</v>
      </c>
      <c r="BE152" s="810">
        <v>0</v>
      </c>
      <c r="BF152" s="807">
        <f t="shared" ref="BF152:BF165" si="307">+(BD152/BA152)</f>
        <v>1</v>
      </c>
      <c r="BG152" s="807" t="e">
        <f t="shared" ref="BG152:BG165" si="308">+(BE152/BC152)</f>
        <v>#DIV/0!</v>
      </c>
      <c r="BH152" s="807">
        <f t="shared" ref="BH152:BH165" si="309">+(BD152+AT152)/AM152</f>
        <v>1</v>
      </c>
      <c r="BI152" s="807" t="e">
        <f t="shared" ref="BI152:BI165" si="310">+(BE152+AU152)/AO152</f>
        <v>#DIV/0!</v>
      </c>
      <c r="BJ152" s="808" t="s">
        <v>1740</v>
      </c>
      <c r="BK152" s="66">
        <v>0</v>
      </c>
      <c r="BL152" s="806" t="str">
        <f t="shared" ref="BL152:BL165" si="311">+AN152</f>
        <v>Actualiza y formalizar la Política del Sistema Integrado de Administración de Riesgos de la ADRES.</v>
      </c>
      <c r="BM152" s="810">
        <f t="shared" ref="BM152:BM163" si="312">+AO152/4</f>
        <v>0</v>
      </c>
      <c r="BN152" s="814">
        <v>0</v>
      </c>
      <c r="BO152" s="917">
        <v>0</v>
      </c>
      <c r="BP152" s="807" t="e">
        <f t="shared" ref="BP152:BP165" si="313">+(BN152/BK152)</f>
        <v>#DIV/0!</v>
      </c>
      <c r="BQ152" s="807" t="e">
        <f t="shared" ref="BQ152:BQ165" si="314">+(BO152/BM152)</f>
        <v>#DIV/0!</v>
      </c>
      <c r="BR152" s="807">
        <f t="shared" ref="BR152:BR165" si="315">+(BD152+AT152+BN152)/AM152</f>
        <v>1</v>
      </c>
      <c r="BS152" s="807" t="e">
        <f t="shared" ref="BS152:BS165" si="316">+(BE152+AU152+BO152)/AO152</f>
        <v>#DIV/0!</v>
      </c>
      <c r="BT152" s="916" t="s">
        <v>1823</v>
      </c>
      <c r="BU152" s="66">
        <v>0</v>
      </c>
      <c r="BV152" s="806" t="str">
        <f t="shared" ref="BV152:BV165" si="317">+AN152</f>
        <v>Actualiza y formalizar la Política del Sistema Integrado de Administración de Riesgos de la ADRES.</v>
      </c>
      <c r="BW152" s="810">
        <f t="shared" ref="BW152:BW163" si="318">+AO152/4</f>
        <v>0</v>
      </c>
      <c r="BX152" s="1044">
        <v>0</v>
      </c>
      <c r="BY152" s="1044" t="s">
        <v>1959</v>
      </c>
      <c r="BZ152" s="805" t="e">
        <f t="shared" ref="BZ152:BZ165" si="319">+(BX152/BU152)</f>
        <v>#DIV/0!</v>
      </c>
      <c r="CA152" s="805" t="e">
        <f t="shared" ref="CA152:CA165" si="320">+(BY152/BW152)</f>
        <v>#DIV/0!</v>
      </c>
      <c r="CB152" s="805">
        <f t="shared" ref="CB152:CB165" si="321">+(BD152+AT152+BN152+BX152)/AM152</f>
        <v>1</v>
      </c>
      <c r="CC152" s="805" t="e">
        <f t="shared" ref="CC152:CC165" si="322">+(BE152+AU152+BO152+BY152)/AO152</f>
        <v>#DIV/0!</v>
      </c>
      <c r="CD152" s="682" t="s">
        <v>1962</v>
      </c>
      <c r="CE152" s="631" t="str">
        <f t="shared" ref="CE152:CE164" si="323">IF(AND(AQ152=0,AT152=0),"No Prog ni Ejec",IF(AQ152=0,CONCATENATE("No Prog, Ejec=  ",AT152),AT152/AQ152))</f>
        <v>No Prog ni Ejec</v>
      </c>
      <c r="CF152" s="631" t="str">
        <f t="shared" ref="CF152:CF164" si="324">IF(AND(AS152=0,AU152=0),"No Prog ni Ejec",IF(AS152=0,CONCATENATE("No Prog, Ejec=  ",AU152),AU152/AS152))</f>
        <v>No Prog ni Ejec</v>
      </c>
      <c r="CG152" s="631">
        <f t="shared" ref="CG152:CG164" si="325">IF(AND(BA152=0,BD152=0),"No Prog ni Ejec",IF(BA152=0,CONCATENATE("No Prog, Ejec=  ",BD152),BD152/BA152))</f>
        <v>1</v>
      </c>
      <c r="CH152" s="631" t="str">
        <f t="shared" ref="CH152:CH164" si="326">IF(AND(BC152=0,BE152=0),"No Prog ni Ejec",IF(BC152=0,CONCATENATE("No Prog, Ejec=  ",BE152),BE152/BC152))</f>
        <v>No Prog ni Ejec</v>
      </c>
      <c r="CI152" s="631" t="str">
        <f t="shared" ref="CI152:CI164" si="327">IF(AND(BK152=0,BN152=0),"No Prog ni Ejec",IF(BK152=0,CONCATENATE("No Prog, Ejec=  ",BN152),BN152/BK152))</f>
        <v>No Prog ni Ejec</v>
      </c>
      <c r="CJ152" s="631" t="str">
        <f t="shared" ref="CJ152:CJ164" si="328">IF(AND(BM152=0,BO152=0),"No Prog ni Ejec",IF(BM152=0,CONCATENATE("No Prog, Ejec=  ",BO152),BO152/BM152))</f>
        <v>No Prog ni Ejec</v>
      </c>
      <c r="CK152" s="631" t="str">
        <f t="shared" ref="CK152:CK164" si="329">IF(AND(BU152=0,BX152=0),"No Prog ni Ejec",IF(BU152=0,CONCATENATE("No Prog, Ejec=  ",BX152),BX152/BU152))</f>
        <v>No Prog ni Ejec</v>
      </c>
      <c r="CL152" s="685" t="str">
        <f t="shared" ref="CL152:CL164" si="330">IF(AND(BW152=0,BY152=0),"No Prog ni Ejec",IF(BW152=0,CONCATENATE("No Prog, Ejec=  ",BY152),BY152/BW152))</f>
        <v>No Prog, Ejec=  $0</v>
      </c>
      <c r="CM152" s="127">
        <f t="shared" si="272"/>
        <v>0</v>
      </c>
      <c r="CR152" s="121">
        <v>1</v>
      </c>
      <c r="CS152" s="155"/>
      <c r="CT152" s="155"/>
      <c r="CU152" s="155"/>
      <c r="CV152" s="155"/>
      <c r="CW152" s="155"/>
      <c r="CX152" s="155"/>
      <c r="CY152" s="155"/>
      <c r="CZ152" s="155"/>
      <c r="DA152" s="155"/>
      <c r="DB152" s="155"/>
      <c r="DC152" s="155"/>
    </row>
    <row r="153" spans="1:107" s="77" customFormat="1" ht="206.25" customHeight="1" x14ac:dyDescent="0.2">
      <c r="A153" s="813">
        <v>12000</v>
      </c>
      <c r="B153" s="806" t="s">
        <v>15</v>
      </c>
      <c r="C153" s="806" t="s">
        <v>336</v>
      </c>
      <c r="D153" s="822" t="s">
        <v>1017</v>
      </c>
      <c r="E153" s="822"/>
      <c r="F153" s="822"/>
      <c r="G153" s="822"/>
      <c r="H153" s="822"/>
      <c r="I153" s="822"/>
      <c r="J153" s="822"/>
      <c r="K153" s="822"/>
      <c r="L153" s="822"/>
      <c r="M153" s="822"/>
      <c r="N153" s="822"/>
      <c r="O153" s="822"/>
      <c r="P153" s="822"/>
      <c r="Q153" s="806" t="s">
        <v>1123</v>
      </c>
      <c r="R153" s="806" t="s">
        <v>1618</v>
      </c>
      <c r="S153" s="814" t="s">
        <v>53</v>
      </c>
      <c r="T153" s="806" t="s">
        <v>94</v>
      </c>
      <c r="U153" s="806" t="s">
        <v>204</v>
      </c>
      <c r="V153" s="806" t="s">
        <v>204</v>
      </c>
      <c r="W153" s="814" t="s">
        <v>950</v>
      </c>
      <c r="X153" s="806" t="s">
        <v>532</v>
      </c>
      <c r="Y153" s="817" t="s">
        <v>390</v>
      </c>
      <c r="Z153" s="814">
        <v>1</v>
      </c>
      <c r="AA153" s="1210" t="s">
        <v>943</v>
      </c>
      <c r="AB153" s="1201" t="s">
        <v>531</v>
      </c>
      <c r="AC153" s="1205">
        <v>0</v>
      </c>
      <c r="AD153" s="1206">
        <v>1</v>
      </c>
      <c r="AE153" s="1201" t="s">
        <v>18</v>
      </c>
      <c r="AF153" s="1201" t="s">
        <v>24</v>
      </c>
      <c r="AG153" s="1201" t="s">
        <v>204</v>
      </c>
      <c r="AH153" s="1201" t="s">
        <v>633</v>
      </c>
      <c r="AI153" s="1201" t="s">
        <v>1039</v>
      </c>
      <c r="AJ153" s="1201" t="s">
        <v>1289</v>
      </c>
      <c r="AK153" s="806" t="s">
        <v>533</v>
      </c>
      <c r="AL153" s="1201" t="s">
        <v>296</v>
      </c>
      <c r="AM153" s="814">
        <v>1</v>
      </c>
      <c r="AN153" s="1201" t="str">
        <f t="shared" si="297"/>
        <v>Publicación y Socialización de la versión actualizada de la Política del Sistema Integrado de Administración de Riesgos de la ADRES.</v>
      </c>
      <c r="AO153" s="1207">
        <f t="shared" si="298"/>
        <v>0</v>
      </c>
      <c r="AP153" s="836" t="s">
        <v>48</v>
      </c>
      <c r="AQ153" s="66">
        <v>0</v>
      </c>
      <c r="AR153" s="1201" t="str">
        <f t="shared" si="299"/>
        <v>Publicación y Socialización de la versión actualizada de la Política del Sistema Integrado de Administración de Riesgos de la ADRES.</v>
      </c>
      <c r="AS153" s="1205">
        <f t="shared" si="300"/>
        <v>0</v>
      </c>
      <c r="AT153" s="814">
        <v>0</v>
      </c>
      <c r="AU153" s="826">
        <v>0</v>
      </c>
      <c r="AV153" s="807" t="e">
        <f>+(AT153/AQ153)</f>
        <v>#DIV/0!</v>
      </c>
      <c r="AW153" s="1202" t="e">
        <f>+(AU153/AS153)</f>
        <v>#DIV/0!</v>
      </c>
      <c r="AX153" s="807">
        <f t="shared" si="303"/>
        <v>0</v>
      </c>
      <c r="AY153" s="1202" t="e">
        <f>+(AU153/AO153)</f>
        <v>#DIV/0!</v>
      </c>
      <c r="AZ153" s="1201" t="s">
        <v>1369</v>
      </c>
      <c r="BA153" s="814">
        <v>1</v>
      </c>
      <c r="BB153" s="1201" t="str">
        <f t="shared" si="305"/>
        <v>Publicación y Socialización de la versión actualizada de la Política del Sistema Integrado de Administración de Riesgos de la ADRES.</v>
      </c>
      <c r="BC153" s="1205">
        <f t="shared" si="306"/>
        <v>0</v>
      </c>
      <c r="BD153" s="817">
        <v>0</v>
      </c>
      <c r="BE153" s="1205">
        <v>0</v>
      </c>
      <c r="BF153" s="807">
        <f t="shared" si="307"/>
        <v>0</v>
      </c>
      <c r="BG153" s="1202" t="e">
        <f t="shared" si="308"/>
        <v>#DIV/0!</v>
      </c>
      <c r="BH153" s="807">
        <f t="shared" si="309"/>
        <v>0</v>
      </c>
      <c r="BI153" s="1202" t="e">
        <f t="shared" si="310"/>
        <v>#DIV/0!</v>
      </c>
      <c r="BJ153" s="809" t="s">
        <v>1741</v>
      </c>
      <c r="BK153" s="66">
        <v>0</v>
      </c>
      <c r="BL153" s="1201" t="str">
        <f t="shared" si="311"/>
        <v>Publicación y Socialización de la versión actualizada de la Política del Sistema Integrado de Administración de Riesgos de la ADRES.</v>
      </c>
      <c r="BM153" s="1205">
        <f t="shared" si="312"/>
        <v>0</v>
      </c>
      <c r="BN153" s="814">
        <v>1</v>
      </c>
      <c r="BO153" s="1205">
        <v>0</v>
      </c>
      <c r="BP153" s="807" t="e">
        <f t="shared" si="313"/>
        <v>#DIV/0!</v>
      </c>
      <c r="BQ153" s="1202" t="e">
        <f t="shared" si="314"/>
        <v>#DIV/0!</v>
      </c>
      <c r="BR153" s="807">
        <f t="shared" si="315"/>
        <v>1</v>
      </c>
      <c r="BS153" s="1202" t="e">
        <f t="shared" si="316"/>
        <v>#DIV/0!</v>
      </c>
      <c r="BT153" s="916" t="s">
        <v>1824</v>
      </c>
      <c r="BU153" s="66">
        <v>0</v>
      </c>
      <c r="BV153" s="1201" t="str">
        <f t="shared" si="317"/>
        <v>Publicación y Socialización de la versión actualizada de la Política del Sistema Integrado de Administración de Riesgos de la ADRES.</v>
      </c>
      <c r="BW153" s="1205">
        <f t="shared" si="318"/>
        <v>0</v>
      </c>
      <c r="BX153" s="1044">
        <v>0</v>
      </c>
      <c r="BY153" s="1210" t="s">
        <v>1959</v>
      </c>
      <c r="BZ153" s="805" t="e">
        <f t="shared" si="319"/>
        <v>#DIV/0!</v>
      </c>
      <c r="CA153" s="1199" t="e">
        <f t="shared" si="320"/>
        <v>#DIV/0!</v>
      </c>
      <c r="CB153" s="805">
        <f t="shared" si="321"/>
        <v>1</v>
      </c>
      <c r="CC153" s="1199" t="e">
        <f t="shared" si="322"/>
        <v>#DIV/0!</v>
      </c>
      <c r="CD153" s="682" t="s">
        <v>1962</v>
      </c>
      <c r="CE153" s="631" t="str">
        <f t="shared" si="323"/>
        <v>No Prog ni Ejec</v>
      </c>
      <c r="CF153" s="1263" t="str">
        <f t="shared" si="324"/>
        <v>No Prog ni Ejec</v>
      </c>
      <c r="CG153" s="631">
        <f t="shared" si="325"/>
        <v>0</v>
      </c>
      <c r="CH153" s="1263" t="str">
        <f t="shared" si="326"/>
        <v>No Prog ni Ejec</v>
      </c>
      <c r="CI153" s="631" t="str">
        <f t="shared" si="327"/>
        <v>No Prog, Ejec=  1</v>
      </c>
      <c r="CJ153" s="1263" t="str">
        <f t="shared" si="328"/>
        <v>No Prog ni Ejec</v>
      </c>
      <c r="CK153" s="631" t="str">
        <f t="shared" si="329"/>
        <v>No Prog ni Ejec</v>
      </c>
      <c r="CL153" s="1262" t="str">
        <f t="shared" si="330"/>
        <v>No Prog, Ejec=  $0</v>
      </c>
      <c r="CM153" s="127">
        <f t="shared" si="272"/>
        <v>0</v>
      </c>
      <c r="CR153" s="121">
        <v>1</v>
      </c>
      <c r="CS153" s="155"/>
      <c r="CT153" s="155"/>
      <c r="CU153" s="155"/>
      <c r="CV153" s="155"/>
      <c r="CW153" s="155"/>
      <c r="CX153" s="155"/>
      <c r="CY153" s="155"/>
      <c r="CZ153" s="155"/>
      <c r="DA153" s="155"/>
      <c r="DB153" s="155"/>
      <c r="DC153" s="155"/>
    </row>
    <row r="154" spans="1:107" s="77" customFormat="1" ht="175.5" customHeight="1" x14ac:dyDescent="0.2">
      <c r="A154" s="813">
        <v>12000</v>
      </c>
      <c r="B154" s="806" t="s">
        <v>15</v>
      </c>
      <c r="C154" s="806" t="s">
        <v>336</v>
      </c>
      <c r="D154" s="822" t="s">
        <v>1017</v>
      </c>
      <c r="E154" s="822"/>
      <c r="F154" s="822"/>
      <c r="G154" s="822" t="s">
        <v>1017</v>
      </c>
      <c r="H154" s="822"/>
      <c r="I154" s="822"/>
      <c r="J154" s="822"/>
      <c r="K154" s="822"/>
      <c r="L154" s="822"/>
      <c r="M154" s="822"/>
      <c r="N154" s="822"/>
      <c r="O154" s="822"/>
      <c r="P154" s="822"/>
      <c r="Q154" s="806" t="s">
        <v>1123</v>
      </c>
      <c r="R154" s="806" t="s">
        <v>1618</v>
      </c>
      <c r="S154" s="814" t="s">
        <v>53</v>
      </c>
      <c r="T154" s="806" t="s">
        <v>94</v>
      </c>
      <c r="U154" s="806" t="s">
        <v>204</v>
      </c>
      <c r="V154" s="806" t="s">
        <v>204</v>
      </c>
      <c r="W154" s="814" t="s">
        <v>951</v>
      </c>
      <c r="X154" s="806" t="s">
        <v>534</v>
      </c>
      <c r="Y154" s="817" t="s">
        <v>390</v>
      </c>
      <c r="Z154" s="814">
        <v>1</v>
      </c>
      <c r="AA154" s="1210"/>
      <c r="AB154" s="1201"/>
      <c r="AC154" s="1205"/>
      <c r="AD154" s="1206"/>
      <c r="AE154" s="1201"/>
      <c r="AF154" s="1201"/>
      <c r="AG154" s="1201"/>
      <c r="AH154" s="1201"/>
      <c r="AI154" s="1201"/>
      <c r="AJ154" s="1201"/>
      <c r="AK154" s="806" t="s">
        <v>1500</v>
      </c>
      <c r="AL154" s="1201"/>
      <c r="AM154" s="814">
        <v>1</v>
      </c>
      <c r="AN154" s="1201"/>
      <c r="AO154" s="1207"/>
      <c r="AP154" s="836" t="s">
        <v>48</v>
      </c>
      <c r="AQ154" s="66">
        <v>0</v>
      </c>
      <c r="AR154" s="1201"/>
      <c r="AS154" s="1205"/>
      <c r="AT154" s="814">
        <v>0</v>
      </c>
      <c r="AU154" s="826">
        <v>0</v>
      </c>
      <c r="AV154" s="807" t="e">
        <f>+(AT154/AQ154)</f>
        <v>#DIV/0!</v>
      </c>
      <c r="AW154" s="1202"/>
      <c r="AX154" s="807">
        <f>+(AT154/AM154)</f>
        <v>0</v>
      </c>
      <c r="AY154" s="1202"/>
      <c r="AZ154" s="1201"/>
      <c r="BA154" s="814">
        <v>1</v>
      </c>
      <c r="BB154" s="1201">
        <f t="shared" si="305"/>
        <v>0</v>
      </c>
      <c r="BC154" s="1205"/>
      <c r="BD154" s="817">
        <v>1</v>
      </c>
      <c r="BE154" s="1205"/>
      <c r="BF154" s="807">
        <f t="shared" si="307"/>
        <v>1</v>
      </c>
      <c r="BG154" s="1202"/>
      <c r="BH154" s="807">
        <f t="shared" si="309"/>
        <v>1</v>
      </c>
      <c r="BI154" s="1202"/>
      <c r="BJ154" s="809" t="s">
        <v>1741</v>
      </c>
      <c r="BK154" s="814">
        <v>0</v>
      </c>
      <c r="BL154" s="1201">
        <f t="shared" si="311"/>
        <v>0</v>
      </c>
      <c r="BM154" s="1205"/>
      <c r="BN154" s="814">
        <v>0</v>
      </c>
      <c r="BO154" s="1205"/>
      <c r="BP154" s="807" t="e">
        <f t="shared" si="313"/>
        <v>#DIV/0!</v>
      </c>
      <c r="BQ154" s="1202"/>
      <c r="BR154" s="807">
        <f t="shared" si="315"/>
        <v>1</v>
      </c>
      <c r="BS154" s="1202"/>
      <c r="BT154" s="916" t="s">
        <v>1825</v>
      </c>
      <c r="BU154" s="814">
        <v>0</v>
      </c>
      <c r="BV154" s="1201">
        <f t="shared" si="317"/>
        <v>0</v>
      </c>
      <c r="BW154" s="1205"/>
      <c r="BX154" s="1044">
        <v>0</v>
      </c>
      <c r="BY154" s="1210"/>
      <c r="BZ154" s="805" t="e">
        <f t="shared" si="319"/>
        <v>#DIV/0!</v>
      </c>
      <c r="CA154" s="1199"/>
      <c r="CB154" s="805">
        <f t="shared" si="321"/>
        <v>1</v>
      </c>
      <c r="CC154" s="1199"/>
      <c r="CD154" s="682" t="s">
        <v>1962</v>
      </c>
      <c r="CE154" s="631" t="str">
        <f t="shared" si="323"/>
        <v>No Prog ni Ejec</v>
      </c>
      <c r="CF154" s="1263"/>
      <c r="CG154" s="631">
        <f t="shared" si="325"/>
        <v>1</v>
      </c>
      <c r="CH154" s="1263"/>
      <c r="CI154" s="631" t="str">
        <f t="shared" si="327"/>
        <v>No Prog ni Ejec</v>
      </c>
      <c r="CJ154" s="1263"/>
      <c r="CK154" s="631" t="str">
        <f t="shared" si="329"/>
        <v>No Prog ni Ejec</v>
      </c>
      <c r="CL154" s="1262"/>
      <c r="CM154" s="127">
        <f t="shared" si="272"/>
        <v>0</v>
      </c>
      <c r="CR154" s="121">
        <v>1</v>
      </c>
      <c r="CS154" s="155"/>
      <c r="CT154" s="155"/>
      <c r="CU154" s="155"/>
      <c r="CV154" s="155"/>
      <c r="CW154" s="155"/>
      <c r="CX154" s="155"/>
      <c r="CY154" s="155"/>
      <c r="CZ154" s="155"/>
      <c r="DA154" s="155"/>
      <c r="DB154" s="155"/>
      <c r="DC154" s="155"/>
    </row>
    <row r="155" spans="1:107" s="77" customFormat="1" ht="231.75" customHeight="1" x14ac:dyDescent="0.2">
      <c r="A155" s="813">
        <v>12000</v>
      </c>
      <c r="B155" s="806" t="s">
        <v>15</v>
      </c>
      <c r="C155" s="806" t="s">
        <v>336</v>
      </c>
      <c r="D155" s="822" t="s">
        <v>1017</v>
      </c>
      <c r="E155" s="822"/>
      <c r="F155" s="822"/>
      <c r="G155" s="822"/>
      <c r="H155" s="822"/>
      <c r="I155" s="822"/>
      <c r="J155" s="822"/>
      <c r="K155" s="822"/>
      <c r="L155" s="822"/>
      <c r="M155" s="822"/>
      <c r="N155" s="822"/>
      <c r="O155" s="822"/>
      <c r="P155" s="822"/>
      <c r="Q155" s="806" t="s">
        <v>1123</v>
      </c>
      <c r="R155" s="806" t="s">
        <v>1129</v>
      </c>
      <c r="S155" s="814" t="s">
        <v>53</v>
      </c>
      <c r="T155" s="806" t="s">
        <v>94</v>
      </c>
      <c r="U155" s="806" t="s">
        <v>204</v>
      </c>
      <c r="V155" s="806" t="s">
        <v>204</v>
      </c>
      <c r="W155" s="1210" t="s">
        <v>952</v>
      </c>
      <c r="X155" s="1201" t="s">
        <v>1593</v>
      </c>
      <c r="Y155" s="1351" t="s">
        <v>51</v>
      </c>
      <c r="Z155" s="1199">
        <v>1</v>
      </c>
      <c r="AA155" s="1210" t="s">
        <v>944</v>
      </c>
      <c r="AB155" s="1201" t="s">
        <v>1054</v>
      </c>
      <c r="AC155" s="1205">
        <v>0</v>
      </c>
      <c r="AD155" s="1206">
        <v>1</v>
      </c>
      <c r="AE155" s="1201" t="s">
        <v>17</v>
      </c>
      <c r="AF155" s="1201" t="s">
        <v>295</v>
      </c>
      <c r="AG155" s="1201" t="s">
        <v>204</v>
      </c>
      <c r="AH155" s="1201" t="s">
        <v>633</v>
      </c>
      <c r="AI155" s="1201" t="s">
        <v>1039</v>
      </c>
      <c r="AJ155" s="1201" t="s">
        <v>1300</v>
      </c>
      <c r="AK155" s="806" t="s">
        <v>1501</v>
      </c>
      <c r="AL155" s="1201" t="s">
        <v>204</v>
      </c>
      <c r="AM155" s="805">
        <v>1</v>
      </c>
      <c r="AN155" s="1201" t="str">
        <f t="shared" si="297"/>
        <v>Realizar reuniones de autocontrol y seguimiento a los procesos que evidencien el monitoreo a los riesgos, indicadores, planes de mejoramiento, manuales y documentos asociados</v>
      </c>
      <c r="AO155" s="1207">
        <f t="shared" si="298"/>
        <v>0</v>
      </c>
      <c r="AP155" s="836" t="s">
        <v>48</v>
      </c>
      <c r="AQ155" s="805">
        <v>0.25</v>
      </c>
      <c r="AR155" s="1201" t="str">
        <f>+AN155</f>
        <v>Realizar reuniones de autocontrol y seguimiento a los procesos que evidencien el monitoreo a los riesgos, indicadores, planes de mejoramiento, manuales y documentos asociados</v>
      </c>
      <c r="AS155" s="1205">
        <f t="shared" si="300"/>
        <v>0</v>
      </c>
      <c r="AT155" s="488">
        <f>(9/92)</f>
        <v>9.7826086956521743E-2</v>
      </c>
      <c r="AU155" s="1256">
        <v>0</v>
      </c>
      <c r="AV155" s="807">
        <f t="shared" si="301"/>
        <v>0.39130434782608697</v>
      </c>
      <c r="AW155" s="1376" t="e">
        <f>+AU155/AS155</f>
        <v>#DIV/0!</v>
      </c>
      <c r="AX155" s="807">
        <f t="shared" si="303"/>
        <v>9.7826086956521743E-2</v>
      </c>
      <c r="AY155" s="1376" t="e">
        <f>+AU155/AO155</f>
        <v>#DIV/0!</v>
      </c>
      <c r="AZ155" s="806" t="s">
        <v>1370</v>
      </c>
      <c r="BA155" s="805">
        <v>0</v>
      </c>
      <c r="BB155" s="1201" t="str">
        <f t="shared" si="305"/>
        <v>Realizar reuniones de autocontrol y seguimiento a los procesos que evidencien el monitoreo a los riesgos, indicadores, planes de mejoramiento, manuales y documentos asociados</v>
      </c>
      <c r="BC155" s="1205">
        <f t="shared" si="306"/>
        <v>0</v>
      </c>
      <c r="BD155" s="824">
        <v>0</v>
      </c>
      <c r="BE155" s="1205">
        <v>0</v>
      </c>
      <c r="BF155" s="807" t="e">
        <f t="shared" si="307"/>
        <v>#DIV/0!</v>
      </c>
      <c r="BG155" s="1202" t="e">
        <f>+(BE155/BC155)</f>
        <v>#DIV/0!</v>
      </c>
      <c r="BH155" s="807">
        <f t="shared" si="309"/>
        <v>9.7826086956521743E-2</v>
      </c>
      <c r="BI155" s="1374" t="e">
        <f>+(BE155+AU155)/AO155</f>
        <v>#DIV/0!</v>
      </c>
      <c r="BJ155" s="809"/>
      <c r="BK155" s="910">
        <v>0</v>
      </c>
      <c r="BL155" s="1201" t="str">
        <f t="shared" si="311"/>
        <v>Realizar reuniones de autocontrol y seguimiento a los procesos que evidencien el monitoreo a los riesgos, indicadores, planes de mejoramiento, manuales y documentos asociados</v>
      </c>
      <c r="BM155" s="1205">
        <f t="shared" si="312"/>
        <v>0</v>
      </c>
      <c r="BN155" s="918">
        <v>0</v>
      </c>
      <c r="BO155" s="1205">
        <v>0</v>
      </c>
      <c r="BP155" s="807" t="e">
        <f t="shared" si="313"/>
        <v>#DIV/0!</v>
      </c>
      <c r="BQ155" s="1374" t="e">
        <f>BO155/BM155</f>
        <v>#DIV/0!</v>
      </c>
      <c r="BR155" s="807">
        <f t="shared" si="315"/>
        <v>9.7826086956521743E-2</v>
      </c>
      <c r="BS155" s="1374" t="e">
        <f>+(BE155+AU155+BO155)/AO155</f>
        <v>#DIV/0!</v>
      </c>
      <c r="BT155" s="916" t="s">
        <v>1826</v>
      </c>
      <c r="BU155" s="910">
        <v>0.75</v>
      </c>
      <c r="BV155" s="1201" t="str">
        <f t="shared" si="317"/>
        <v>Realizar reuniones de autocontrol y seguimiento a los procesos que evidencien el monitoreo a los riesgos, indicadores, planes de mejoramiento, manuales y documentos asociados</v>
      </c>
      <c r="BW155" s="1205">
        <f t="shared" si="318"/>
        <v>0</v>
      </c>
      <c r="BX155" s="1046">
        <f>125/125*BU155</f>
        <v>0.75</v>
      </c>
      <c r="BY155" s="1205">
        <v>0</v>
      </c>
      <c r="BZ155" s="805">
        <f t="shared" si="319"/>
        <v>1</v>
      </c>
      <c r="CA155" s="1199" t="e">
        <f>+(BY155/BW155)</f>
        <v>#DIV/0!</v>
      </c>
      <c r="CB155" s="805">
        <f t="shared" si="321"/>
        <v>0.84782608695652173</v>
      </c>
      <c r="CC155" s="1370" t="e">
        <f>+(BE155+AU155+BO155+BY155)/AO155</f>
        <v>#DIV/0!</v>
      </c>
      <c r="CD155" s="682" t="s">
        <v>1963</v>
      </c>
      <c r="CE155" s="631">
        <f t="shared" si="323"/>
        <v>0.39130434782608697</v>
      </c>
      <c r="CF155" s="1263" t="str">
        <f>IF(AND(AS155=0,AU155=0),"No Prog ni Ejec",IF(AS155=0,CONCATENATE("No Prog, Ejec=  ",AU155),AU155/AS155))</f>
        <v>No Prog ni Ejec</v>
      </c>
      <c r="CG155" s="631" t="str">
        <f t="shared" si="325"/>
        <v>No Prog ni Ejec</v>
      </c>
      <c r="CH155" s="1263" t="str">
        <f>IF(AND(BC155=0,BE155=0),"No Prog ni Ejec",IF(BC155=0,CONCATENATE("No Prog, Ejec=  ",BE155),BE155/BC155))</f>
        <v>No Prog ni Ejec</v>
      </c>
      <c r="CI155" s="631" t="str">
        <f t="shared" si="327"/>
        <v>No Prog ni Ejec</v>
      </c>
      <c r="CJ155" s="1263" t="str">
        <f>IF(AND(BM155=0,BO155=0),"No Prog ni Ejec",IF(BM155=0,CONCATENATE("No Prog, Ejec=  ",BO155),BO155/BM155))</f>
        <v>No Prog ni Ejec</v>
      </c>
      <c r="CK155" s="631">
        <f t="shared" si="329"/>
        <v>1</v>
      </c>
      <c r="CL155" s="1262" t="str">
        <f>IF(AND(BW155=0,BY155=0),"No Prog ni Ejec",IF(BW155=0,CONCATENATE("No Prog, Ejec=  ",BY155),BY155/BW155))</f>
        <v>No Prog ni Ejec</v>
      </c>
      <c r="CM155" s="127">
        <f t="shared" si="272"/>
        <v>0</v>
      </c>
      <c r="CR155" s="121">
        <v>1</v>
      </c>
      <c r="CS155" s="155"/>
      <c r="CT155" s="155"/>
      <c r="CU155" s="155"/>
      <c r="CV155" s="155"/>
      <c r="CW155" s="155"/>
      <c r="CX155" s="155"/>
      <c r="CY155" s="155"/>
      <c r="CZ155" s="155"/>
      <c r="DA155" s="155"/>
      <c r="DB155" s="155"/>
      <c r="DC155" s="155"/>
    </row>
    <row r="156" spans="1:107" s="77" customFormat="1" ht="143.25" customHeight="1" x14ac:dyDescent="0.2">
      <c r="A156" s="813">
        <v>12000</v>
      </c>
      <c r="B156" s="806" t="s">
        <v>15</v>
      </c>
      <c r="C156" s="806" t="s">
        <v>336</v>
      </c>
      <c r="D156" s="822"/>
      <c r="E156" s="822"/>
      <c r="F156" s="822"/>
      <c r="G156" s="822"/>
      <c r="H156" s="822"/>
      <c r="I156" s="822"/>
      <c r="J156" s="822"/>
      <c r="K156" s="822"/>
      <c r="L156" s="822"/>
      <c r="M156" s="822"/>
      <c r="N156" s="822"/>
      <c r="O156" s="822"/>
      <c r="P156" s="822"/>
      <c r="Q156" s="806" t="s">
        <v>1123</v>
      </c>
      <c r="R156" s="806" t="s">
        <v>1129</v>
      </c>
      <c r="S156" s="814" t="s">
        <v>53</v>
      </c>
      <c r="T156" s="806" t="s">
        <v>94</v>
      </c>
      <c r="U156" s="806" t="s">
        <v>204</v>
      </c>
      <c r="V156" s="806" t="s">
        <v>204</v>
      </c>
      <c r="W156" s="1210"/>
      <c r="X156" s="1201"/>
      <c r="Y156" s="1351"/>
      <c r="Z156" s="1199"/>
      <c r="AA156" s="1210"/>
      <c r="AB156" s="1201"/>
      <c r="AC156" s="1205"/>
      <c r="AD156" s="1206"/>
      <c r="AE156" s="1201"/>
      <c r="AF156" s="1201"/>
      <c r="AG156" s="1201"/>
      <c r="AH156" s="1201"/>
      <c r="AI156" s="1201"/>
      <c r="AJ156" s="1201"/>
      <c r="AK156" s="806" t="s">
        <v>1581</v>
      </c>
      <c r="AL156" s="1201"/>
      <c r="AM156" s="66">
        <v>1</v>
      </c>
      <c r="AN156" s="1201"/>
      <c r="AO156" s="1207"/>
      <c r="AP156" s="836" t="s">
        <v>48</v>
      </c>
      <c r="AQ156" s="66">
        <v>0</v>
      </c>
      <c r="AR156" s="1201"/>
      <c r="AS156" s="1205"/>
      <c r="AT156" s="488"/>
      <c r="AU156" s="1256"/>
      <c r="AV156" s="807" t="e">
        <f t="shared" si="301"/>
        <v>#DIV/0!</v>
      </c>
      <c r="AW156" s="1376"/>
      <c r="AX156" s="807">
        <f t="shared" si="303"/>
        <v>0</v>
      </c>
      <c r="AY156" s="1376"/>
      <c r="AZ156" s="806"/>
      <c r="BA156" s="66">
        <v>0</v>
      </c>
      <c r="BB156" s="1201"/>
      <c r="BC156" s="1205"/>
      <c r="BD156" s="817">
        <v>0</v>
      </c>
      <c r="BE156" s="1205"/>
      <c r="BF156" s="807" t="e">
        <f t="shared" si="307"/>
        <v>#DIV/0!</v>
      </c>
      <c r="BG156" s="1202"/>
      <c r="BH156" s="807">
        <f t="shared" si="309"/>
        <v>0</v>
      </c>
      <c r="BI156" s="1374"/>
      <c r="BJ156" s="809"/>
      <c r="BK156" s="66">
        <v>0</v>
      </c>
      <c r="BL156" s="1201"/>
      <c r="BM156" s="1205"/>
      <c r="BN156" s="814">
        <v>0</v>
      </c>
      <c r="BO156" s="1205"/>
      <c r="BP156" s="807" t="e">
        <f t="shared" si="313"/>
        <v>#DIV/0!</v>
      </c>
      <c r="BQ156" s="1202"/>
      <c r="BR156" s="807">
        <f t="shared" si="315"/>
        <v>0</v>
      </c>
      <c r="BS156" s="1374"/>
      <c r="BT156" s="916" t="s">
        <v>1827</v>
      </c>
      <c r="BU156" s="66">
        <v>1</v>
      </c>
      <c r="BV156" s="1201"/>
      <c r="BW156" s="1205"/>
      <c r="BX156" s="1044">
        <v>1</v>
      </c>
      <c r="BY156" s="1205"/>
      <c r="BZ156" s="805">
        <f t="shared" si="319"/>
        <v>1</v>
      </c>
      <c r="CA156" s="1199"/>
      <c r="CB156" s="805">
        <f t="shared" si="321"/>
        <v>1</v>
      </c>
      <c r="CC156" s="1370"/>
      <c r="CD156" s="682" t="s">
        <v>1960</v>
      </c>
      <c r="CE156" s="631" t="str">
        <f t="shared" si="323"/>
        <v>No Prog ni Ejec</v>
      </c>
      <c r="CF156" s="1263"/>
      <c r="CG156" s="631" t="str">
        <f t="shared" si="325"/>
        <v>No Prog ni Ejec</v>
      </c>
      <c r="CH156" s="1263"/>
      <c r="CI156" s="631" t="str">
        <f t="shared" si="327"/>
        <v>No Prog ni Ejec</v>
      </c>
      <c r="CJ156" s="1263"/>
      <c r="CK156" s="631">
        <f t="shared" si="329"/>
        <v>1</v>
      </c>
      <c r="CL156" s="1262"/>
      <c r="CM156" s="127"/>
      <c r="CR156" s="121"/>
      <c r="CS156" s="155"/>
      <c r="CT156" s="155"/>
      <c r="CU156" s="155"/>
      <c r="CV156" s="155"/>
      <c r="CW156" s="155"/>
      <c r="CX156" s="155"/>
      <c r="CY156" s="155"/>
      <c r="CZ156" s="155"/>
      <c r="DA156" s="155"/>
      <c r="DB156" s="155"/>
      <c r="DC156" s="155"/>
    </row>
    <row r="157" spans="1:107" s="615" customFormat="1" ht="127.5" hidden="1" x14ac:dyDescent="0.2">
      <c r="A157" s="742">
        <v>12000</v>
      </c>
      <c r="B157" s="831" t="s">
        <v>15</v>
      </c>
      <c r="C157" s="831" t="s">
        <v>336</v>
      </c>
      <c r="D157" s="822" t="s">
        <v>1017</v>
      </c>
      <c r="E157" s="822"/>
      <c r="F157" s="822"/>
      <c r="G157" s="822"/>
      <c r="H157" s="822"/>
      <c r="I157" s="822"/>
      <c r="J157" s="822"/>
      <c r="K157" s="822"/>
      <c r="L157" s="822"/>
      <c r="M157" s="822"/>
      <c r="N157" s="822"/>
      <c r="O157" s="822"/>
      <c r="P157" s="822"/>
      <c r="Q157" s="806" t="s">
        <v>1123</v>
      </c>
      <c r="R157" s="806" t="s">
        <v>1129</v>
      </c>
      <c r="S157" s="814" t="s">
        <v>53</v>
      </c>
      <c r="T157" s="806" t="s">
        <v>94</v>
      </c>
      <c r="U157" s="806" t="s">
        <v>204</v>
      </c>
      <c r="V157" s="806" t="s">
        <v>204</v>
      </c>
      <c r="W157" s="1338"/>
      <c r="X157" s="1339"/>
      <c r="Y157" s="1383"/>
      <c r="Z157" s="1371"/>
      <c r="AA157" s="1338"/>
      <c r="AB157" s="1339"/>
      <c r="AC157" s="1340"/>
      <c r="AD157" s="1206"/>
      <c r="AE157" s="1201"/>
      <c r="AF157" s="1201"/>
      <c r="AG157" s="1201"/>
      <c r="AH157" s="1201"/>
      <c r="AI157" s="1201"/>
      <c r="AJ157" s="1201"/>
      <c r="AK157" s="831" t="s">
        <v>535</v>
      </c>
      <c r="AL157" s="1201"/>
      <c r="AM157" s="842">
        <v>1</v>
      </c>
      <c r="AN157" s="1339"/>
      <c r="AO157" s="1379"/>
      <c r="AP157" s="836" t="s">
        <v>48</v>
      </c>
      <c r="AQ157" s="842">
        <v>0.25</v>
      </c>
      <c r="AR157" s="1339"/>
      <c r="AS157" s="1340"/>
      <c r="AT157" s="613">
        <f>0*AQ157</f>
        <v>0</v>
      </c>
      <c r="AU157" s="1384"/>
      <c r="AV157" s="843">
        <f>+(AT157/AQ157)</f>
        <v>0</v>
      </c>
      <c r="AW157" s="1377"/>
      <c r="AX157" s="843">
        <f t="shared" si="303"/>
        <v>0</v>
      </c>
      <c r="AY157" s="1378"/>
      <c r="AZ157" s="831" t="s">
        <v>1594</v>
      </c>
      <c r="BA157" s="842">
        <v>0.25</v>
      </c>
      <c r="BB157" s="1339"/>
      <c r="BC157" s="1340"/>
      <c r="BD157" s="613"/>
      <c r="BE157" s="1340"/>
      <c r="BF157" s="843">
        <f t="shared" si="307"/>
        <v>0</v>
      </c>
      <c r="BG157" s="1373"/>
      <c r="BH157" s="843">
        <f t="shared" si="309"/>
        <v>0</v>
      </c>
      <c r="BI157" s="1373"/>
      <c r="BJ157" s="732"/>
      <c r="BK157" s="842">
        <v>0.25</v>
      </c>
      <c r="BL157" s="1339"/>
      <c r="BM157" s="1340"/>
      <c r="BN157" s="830"/>
      <c r="BO157" s="1340"/>
      <c r="BP157" s="843">
        <f t="shared" si="313"/>
        <v>0</v>
      </c>
      <c r="BQ157" s="1373"/>
      <c r="BR157" s="843">
        <f t="shared" si="315"/>
        <v>0</v>
      </c>
      <c r="BS157" s="1373"/>
      <c r="BT157" s="919"/>
      <c r="BU157" s="842">
        <v>0.25</v>
      </c>
      <c r="BV157" s="1339"/>
      <c r="BW157" s="1340"/>
      <c r="BX157" s="1047"/>
      <c r="BY157" s="1338"/>
      <c r="BZ157" s="842">
        <f t="shared" si="319"/>
        <v>0</v>
      </c>
      <c r="CA157" s="1371"/>
      <c r="CB157" s="842">
        <f t="shared" si="321"/>
        <v>0</v>
      </c>
      <c r="CC157" s="1371"/>
      <c r="CD157" s="1048"/>
      <c r="CE157" s="640">
        <f t="shared" si="323"/>
        <v>0</v>
      </c>
      <c r="CF157" s="1372"/>
      <c r="CG157" s="640">
        <f t="shared" si="325"/>
        <v>0</v>
      </c>
      <c r="CH157" s="1372"/>
      <c r="CI157" s="640">
        <f t="shared" si="327"/>
        <v>0</v>
      </c>
      <c r="CJ157" s="1372"/>
      <c r="CK157" s="640">
        <f t="shared" si="329"/>
        <v>0</v>
      </c>
      <c r="CL157" s="1380"/>
      <c r="CM157" s="614">
        <f t="shared" si="272"/>
        <v>0</v>
      </c>
      <c r="CR157" s="121">
        <v>1</v>
      </c>
      <c r="CS157" s="155"/>
      <c r="CT157" s="155"/>
      <c r="CU157" s="155"/>
      <c r="CV157" s="155"/>
      <c r="CW157" s="155"/>
      <c r="CX157" s="155"/>
      <c r="CY157" s="155"/>
      <c r="CZ157" s="155"/>
      <c r="DA157" s="155"/>
      <c r="DB157" s="155"/>
      <c r="DC157" s="155"/>
    </row>
    <row r="158" spans="1:107" s="77" customFormat="1" ht="105.75" customHeight="1" x14ac:dyDescent="0.2">
      <c r="A158" s="813">
        <v>12000</v>
      </c>
      <c r="B158" s="806" t="s">
        <v>15</v>
      </c>
      <c r="C158" s="806" t="s">
        <v>336</v>
      </c>
      <c r="D158" s="822" t="s">
        <v>1017</v>
      </c>
      <c r="E158" s="822"/>
      <c r="F158" s="822"/>
      <c r="G158" s="822" t="s">
        <v>1017</v>
      </c>
      <c r="H158" s="822"/>
      <c r="I158" s="822"/>
      <c r="J158" s="822"/>
      <c r="K158" s="822"/>
      <c r="L158" s="822"/>
      <c r="M158" s="822"/>
      <c r="N158" s="822"/>
      <c r="O158" s="822"/>
      <c r="P158" s="822"/>
      <c r="Q158" s="806" t="s">
        <v>1123</v>
      </c>
      <c r="R158" s="806" t="s">
        <v>1129</v>
      </c>
      <c r="S158" s="814" t="s">
        <v>53</v>
      </c>
      <c r="T158" s="806" t="s">
        <v>94</v>
      </c>
      <c r="U158" s="806" t="s">
        <v>204</v>
      </c>
      <c r="V158" s="806" t="s">
        <v>204</v>
      </c>
      <c r="W158" s="814" t="s">
        <v>953</v>
      </c>
      <c r="X158" s="806" t="s">
        <v>1502</v>
      </c>
      <c r="Y158" s="817" t="s">
        <v>390</v>
      </c>
      <c r="Z158" s="558">
        <v>3</v>
      </c>
      <c r="AA158" s="1210"/>
      <c r="AB158" s="1201"/>
      <c r="AC158" s="1205"/>
      <c r="AD158" s="1206"/>
      <c r="AE158" s="1201"/>
      <c r="AF158" s="1201"/>
      <c r="AG158" s="1201"/>
      <c r="AH158" s="1201"/>
      <c r="AI158" s="806" t="s">
        <v>1045</v>
      </c>
      <c r="AJ158" s="806" t="s">
        <v>204</v>
      </c>
      <c r="AK158" s="806" t="s">
        <v>1503</v>
      </c>
      <c r="AL158" s="1201"/>
      <c r="AM158" s="558">
        <v>3</v>
      </c>
      <c r="AN158" s="1201"/>
      <c r="AO158" s="1207"/>
      <c r="AP158" s="836" t="s">
        <v>48</v>
      </c>
      <c r="AQ158" s="66">
        <v>0</v>
      </c>
      <c r="AR158" s="1201"/>
      <c r="AS158" s="1205"/>
      <c r="AT158" s="817">
        <v>0</v>
      </c>
      <c r="AU158" s="1256"/>
      <c r="AV158" s="807" t="e">
        <f t="shared" si="301"/>
        <v>#DIV/0!</v>
      </c>
      <c r="AW158" s="1376"/>
      <c r="AX158" s="807">
        <f t="shared" si="303"/>
        <v>0</v>
      </c>
      <c r="AY158" s="1196"/>
      <c r="AZ158" s="806" t="s">
        <v>1371</v>
      </c>
      <c r="BA158" s="814">
        <v>1</v>
      </c>
      <c r="BB158" s="1201"/>
      <c r="BC158" s="1205"/>
      <c r="BD158" s="817">
        <v>1</v>
      </c>
      <c r="BE158" s="1205"/>
      <c r="BF158" s="807">
        <f t="shared" si="307"/>
        <v>1</v>
      </c>
      <c r="BG158" s="1202"/>
      <c r="BH158" s="807">
        <f t="shared" si="309"/>
        <v>0.33333333333333331</v>
      </c>
      <c r="BI158" s="1202"/>
      <c r="BJ158" s="809" t="s">
        <v>1677</v>
      </c>
      <c r="BK158" s="558">
        <v>1</v>
      </c>
      <c r="BL158" s="1201"/>
      <c r="BM158" s="1205"/>
      <c r="BN158" s="814">
        <v>1</v>
      </c>
      <c r="BO158" s="1205"/>
      <c r="BP158" s="807">
        <f t="shared" si="313"/>
        <v>1</v>
      </c>
      <c r="BQ158" s="1202"/>
      <c r="BR158" s="807">
        <f t="shared" si="315"/>
        <v>0.66666666666666663</v>
      </c>
      <c r="BS158" s="1202"/>
      <c r="BT158" s="916" t="s">
        <v>1828</v>
      </c>
      <c r="BU158" s="814">
        <v>1</v>
      </c>
      <c r="BV158" s="1201"/>
      <c r="BW158" s="1205"/>
      <c r="BX158" s="1044">
        <v>1</v>
      </c>
      <c r="BY158" s="1205"/>
      <c r="BZ158" s="805">
        <f t="shared" si="319"/>
        <v>1</v>
      </c>
      <c r="CA158" s="1199"/>
      <c r="CB158" s="805">
        <f t="shared" si="321"/>
        <v>1</v>
      </c>
      <c r="CC158" s="1199"/>
      <c r="CD158" s="682" t="s">
        <v>1961</v>
      </c>
      <c r="CE158" s="631" t="str">
        <f t="shared" si="323"/>
        <v>No Prog ni Ejec</v>
      </c>
      <c r="CF158" s="1263"/>
      <c r="CG158" s="631">
        <f t="shared" si="325"/>
        <v>1</v>
      </c>
      <c r="CH158" s="1263"/>
      <c r="CI158" s="631">
        <f t="shared" si="327"/>
        <v>1</v>
      </c>
      <c r="CJ158" s="1263"/>
      <c r="CK158" s="631">
        <f t="shared" si="329"/>
        <v>1</v>
      </c>
      <c r="CL158" s="1262"/>
      <c r="CM158" s="127">
        <f t="shared" si="272"/>
        <v>0</v>
      </c>
      <c r="CR158" s="121">
        <v>1</v>
      </c>
      <c r="CS158" s="155"/>
      <c r="CT158" s="155"/>
      <c r="CU158" s="155"/>
      <c r="CV158" s="155"/>
      <c r="CW158" s="155"/>
      <c r="CX158" s="155"/>
      <c r="CY158" s="155"/>
      <c r="CZ158" s="155"/>
      <c r="DA158" s="155"/>
      <c r="DB158" s="155"/>
      <c r="DC158" s="155"/>
    </row>
    <row r="159" spans="1:107" s="77" customFormat="1" ht="122.25" customHeight="1" x14ac:dyDescent="0.2">
      <c r="A159" s="813">
        <v>12000</v>
      </c>
      <c r="B159" s="806" t="s">
        <v>15</v>
      </c>
      <c r="C159" s="806" t="s">
        <v>336</v>
      </c>
      <c r="D159" s="822" t="s">
        <v>1017</v>
      </c>
      <c r="E159" s="822"/>
      <c r="F159" s="822"/>
      <c r="G159" s="822"/>
      <c r="H159" s="822"/>
      <c r="I159" s="822"/>
      <c r="J159" s="822"/>
      <c r="K159" s="822"/>
      <c r="L159" s="822"/>
      <c r="M159" s="822"/>
      <c r="N159" s="822"/>
      <c r="O159" s="822"/>
      <c r="P159" s="822"/>
      <c r="Q159" s="806" t="s">
        <v>1123</v>
      </c>
      <c r="R159" s="806" t="s">
        <v>1136</v>
      </c>
      <c r="S159" s="814" t="s">
        <v>53</v>
      </c>
      <c r="T159" s="806" t="s">
        <v>94</v>
      </c>
      <c r="U159" s="806" t="s">
        <v>204</v>
      </c>
      <c r="V159" s="806" t="s">
        <v>204</v>
      </c>
      <c r="W159" s="814" t="s">
        <v>954</v>
      </c>
      <c r="X159" s="806" t="s">
        <v>537</v>
      </c>
      <c r="Y159" s="817" t="s">
        <v>390</v>
      </c>
      <c r="Z159" s="814">
        <v>1</v>
      </c>
      <c r="AA159" s="814" t="s">
        <v>945</v>
      </c>
      <c r="AB159" s="806" t="s">
        <v>536</v>
      </c>
      <c r="AC159" s="810">
        <v>0</v>
      </c>
      <c r="AD159" s="811">
        <v>1</v>
      </c>
      <c r="AE159" s="806" t="s">
        <v>17</v>
      </c>
      <c r="AF159" s="806" t="s">
        <v>301</v>
      </c>
      <c r="AG159" s="806" t="s">
        <v>204</v>
      </c>
      <c r="AH159" s="806" t="s">
        <v>633</v>
      </c>
      <c r="AI159" s="806" t="s">
        <v>1039</v>
      </c>
      <c r="AJ159" s="806" t="s">
        <v>1288</v>
      </c>
      <c r="AK159" s="806" t="s">
        <v>1595</v>
      </c>
      <c r="AL159" s="806" t="s">
        <v>204</v>
      </c>
      <c r="AM159" s="814">
        <v>1</v>
      </c>
      <c r="AN159" s="806" t="str">
        <f t="shared" si="297"/>
        <v>Disposición de instrumento en página web, con el fin de que la ciudadanía y partes interesadas realicen observaciones, recomendaciones y comentarios al Mapa de Riesgos Operativos, de Corrupción y de Seguridad Digital actualizado y al Plan de Acción</v>
      </c>
      <c r="AO159" s="812">
        <f t="shared" si="298"/>
        <v>0</v>
      </c>
      <c r="AP159" s="836" t="s">
        <v>48</v>
      </c>
      <c r="AQ159" s="66">
        <v>1</v>
      </c>
      <c r="AR159" s="806" t="str">
        <f t="shared" si="299"/>
        <v>Disposición de instrumento en página web, con el fin de que la ciudadanía y partes interesadas realicen observaciones, recomendaciones y comentarios al Mapa de Riesgos Operativos, de Corrupción y de Seguridad Digital actualizado y al Plan de Acción</v>
      </c>
      <c r="AS159" s="810">
        <f t="shared" si="300"/>
        <v>0</v>
      </c>
      <c r="AT159" s="817">
        <v>1</v>
      </c>
      <c r="AU159" s="819">
        <v>0</v>
      </c>
      <c r="AV159" s="807">
        <f t="shared" si="301"/>
        <v>1</v>
      </c>
      <c r="AW159" s="807" t="e">
        <f t="shared" si="302"/>
        <v>#DIV/0!</v>
      </c>
      <c r="AX159" s="807">
        <f t="shared" si="303"/>
        <v>1</v>
      </c>
      <c r="AY159" s="807" t="e">
        <f t="shared" si="304"/>
        <v>#DIV/0!</v>
      </c>
      <c r="AZ159" s="808" t="s">
        <v>1596</v>
      </c>
      <c r="BA159" s="814">
        <v>0</v>
      </c>
      <c r="BB159" s="806" t="str">
        <f t="shared" si="305"/>
        <v>Disposición de instrumento en página web, con el fin de que la ciudadanía y partes interesadas realicen observaciones, recomendaciones y comentarios al Mapa de Riesgos Operativos, de Corrupción y de Seguridad Digital actualizado y al Plan de Acción</v>
      </c>
      <c r="BC159" s="810">
        <f t="shared" si="306"/>
        <v>0</v>
      </c>
      <c r="BD159" s="817">
        <v>0</v>
      </c>
      <c r="BE159" s="810">
        <v>0</v>
      </c>
      <c r="BF159" s="807" t="e">
        <f t="shared" si="307"/>
        <v>#DIV/0!</v>
      </c>
      <c r="BG159" s="807" t="e">
        <f t="shared" si="308"/>
        <v>#DIV/0!</v>
      </c>
      <c r="BH159" s="807">
        <f t="shared" si="309"/>
        <v>1</v>
      </c>
      <c r="BI159" s="807" t="e">
        <f t="shared" si="310"/>
        <v>#DIV/0!</v>
      </c>
      <c r="BJ159" s="809" t="s">
        <v>1742</v>
      </c>
      <c r="BK159" s="814">
        <v>0</v>
      </c>
      <c r="BL159" s="806" t="str">
        <f t="shared" si="311"/>
        <v>Disposición de instrumento en página web, con el fin de que la ciudadanía y partes interesadas realicen observaciones, recomendaciones y comentarios al Mapa de Riesgos Operativos, de Corrupción y de Seguridad Digital actualizado y al Plan de Acción</v>
      </c>
      <c r="BM159" s="810">
        <f t="shared" si="312"/>
        <v>0</v>
      </c>
      <c r="BN159" s="814">
        <v>0</v>
      </c>
      <c r="BO159" s="917">
        <v>0</v>
      </c>
      <c r="BP159" s="807" t="e">
        <f t="shared" si="313"/>
        <v>#DIV/0!</v>
      </c>
      <c r="BQ159" s="807" t="e">
        <f t="shared" si="314"/>
        <v>#DIV/0!</v>
      </c>
      <c r="BR159" s="807">
        <f t="shared" si="315"/>
        <v>1</v>
      </c>
      <c r="BS159" s="807" t="e">
        <f t="shared" si="316"/>
        <v>#DIV/0!</v>
      </c>
      <c r="BT159" s="916" t="s">
        <v>1823</v>
      </c>
      <c r="BU159" s="814">
        <v>0</v>
      </c>
      <c r="BV159" s="806" t="str">
        <f t="shared" si="317"/>
        <v>Disposición de instrumento en página web, con el fin de que la ciudadanía y partes interesadas realicen observaciones, recomendaciones y comentarios al Mapa de Riesgos Operativos, de Corrupción y de Seguridad Digital actualizado y al Plan de Acción</v>
      </c>
      <c r="BW159" s="810">
        <f t="shared" si="318"/>
        <v>0</v>
      </c>
      <c r="BX159" s="1044">
        <v>0</v>
      </c>
      <c r="BY159" s="1043">
        <v>0</v>
      </c>
      <c r="BZ159" s="805" t="e">
        <f t="shared" si="319"/>
        <v>#DIV/0!</v>
      </c>
      <c r="CA159" s="805" t="e">
        <f t="shared" si="320"/>
        <v>#DIV/0!</v>
      </c>
      <c r="CB159" s="805">
        <f t="shared" si="321"/>
        <v>1</v>
      </c>
      <c r="CC159" s="805" t="e">
        <f t="shared" si="322"/>
        <v>#DIV/0!</v>
      </c>
      <c r="CD159" s="65" t="s">
        <v>1962</v>
      </c>
      <c r="CE159" s="631">
        <f t="shared" si="323"/>
        <v>1</v>
      </c>
      <c r="CF159" s="631" t="str">
        <f t="shared" si="324"/>
        <v>No Prog ni Ejec</v>
      </c>
      <c r="CG159" s="631" t="str">
        <f t="shared" si="325"/>
        <v>No Prog ni Ejec</v>
      </c>
      <c r="CH159" s="631" t="str">
        <f t="shared" si="326"/>
        <v>No Prog ni Ejec</v>
      </c>
      <c r="CI159" s="631" t="str">
        <f t="shared" si="327"/>
        <v>No Prog ni Ejec</v>
      </c>
      <c r="CJ159" s="631" t="str">
        <f t="shared" si="328"/>
        <v>No Prog ni Ejec</v>
      </c>
      <c r="CK159" s="631" t="str">
        <f t="shared" si="329"/>
        <v>No Prog ni Ejec</v>
      </c>
      <c r="CL159" s="685" t="str">
        <f t="shared" si="330"/>
        <v>No Prog ni Ejec</v>
      </c>
      <c r="CM159" s="127">
        <f t="shared" si="272"/>
        <v>0</v>
      </c>
      <c r="CR159" s="121">
        <v>1</v>
      </c>
      <c r="CS159" s="155"/>
      <c r="CT159" s="155"/>
      <c r="CU159" s="155"/>
      <c r="CV159" s="155"/>
      <c r="CW159" s="155"/>
      <c r="CX159" s="155"/>
      <c r="CY159" s="155"/>
      <c r="CZ159" s="155"/>
      <c r="DA159" s="155"/>
      <c r="DB159" s="155"/>
      <c r="DC159" s="155"/>
    </row>
    <row r="160" spans="1:107" s="77" customFormat="1" ht="130.5" customHeight="1" x14ac:dyDescent="0.2">
      <c r="A160" s="813">
        <v>12000</v>
      </c>
      <c r="B160" s="806" t="s">
        <v>15</v>
      </c>
      <c r="C160" s="806" t="s">
        <v>336</v>
      </c>
      <c r="D160" s="822" t="s">
        <v>1017</v>
      </c>
      <c r="E160" s="822"/>
      <c r="F160" s="822"/>
      <c r="G160" s="822"/>
      <c r="H160" s="822"/>
      <c r="I160" s="822"/>
      <c r="J160" s="822"/>
      <c r="K160" s="822"/>
      <c r="L160" s="822"/>
      <c r="M160" s="822"/>
      <c r="N160" s="822"/>
      <c r="O160" s="822"/>
      <c r="P160" s="822"/>
      <c r="Q160" s="806" t="s">
        <v>1125</v>
      </c>
      <c r="R160" s="806" t="s">
        <v>1765</v>
      </c>
      <c r="S160" s="814" t="s">
        <v>53</v>
      </c>
      <c r="T160" s="806" t="s">
        <v>94</v>
      </c>
      <c r="U160" s="806" t="s">
        <v>204</v>
      </c>
      <c r="V160" s="806" t="s">
        <v>204</v>
      </c>
      <c r="W160" s="814" t="s">
        <v>955</v>
      </c>
      <c r="X160" s="806" t="s">
        <v>543</v>
      </c>
      <c r="Y160" s="817" t="s">
        <v>390</v>
      </c>
      <c r="Z160" s="814">
        <v>1</v>
      </c>
      <c r="AA160" s="814" t="s">
        <v>946</v>
      </c>
      <c r="AB160" s="806" t="s">
        <v>541</v>
      </c>
      <c r="AC160" s="810">
        <v>0</v>
      </c>
      <c r="AD160" s="811">
        <v>1</v>
      </c>
      <c r="AE160" s="806" t="s">
        <v>18</v>
      </c>
      <c r="AF160" s="806" t="s">
        <v>24</v>
      </c>
      <c r="AG160" s="806" t="s">
        <v>204</v>
      </c>
      <c r="AH160" s="806" t="s">
        <v>633</v>
      </c>
      <c r="AI160" s="806" t="s">
        <v>29</v>
      </c>
      <c r="AJ160" s="806" t="s">
        <v>1288</v>
      </c>
      <c r="AK160" s="806" t="s">
        <v>542</v>
      </c>
      <c r="AL160" s="806" t="s">
        <v>296</v>
      </c>
      <c r="AM160" s="814">
        <v>1</v>
      </c>
      <c r="AN160" s="806" t="str">
        <f t="shared" si="297"/>
        <v>Organizar la publicación de la información sobre la gestión de la entidad para proporcionar información relevante a los grupos de interés</v>
      </c>
      <c r="AO160" s="812">
        <f t="shared" si="298"/>
        <v>0</v>
      </c>
      <c r="AP160" s="836" t="s">
        <v>48</v>
      </c>
      <c r="AQ160" s="66">
        <v>0</v>
      </c>
      <c r="AR160" s="806" t="str">
        <f t="shared" si="299"/>
        <v>Organizar la publicación de la información sobre la gestión de la entidad para proporcionar información relevante a los grupos de interés</v>
      </c>
      <c r="AS160" s="810">
        <f t="shared" si="300"/>
        <v>0</v>
      </c>
      <c r="AT160" s="817">
        <v>0</v>
      </c>
      <c r="AU160" s="819">
        <v>0</v>
      </c>
      <c r="AV160" s="807" t="e">
        <f t="shared" si="301"/>
        <v>#DIV/0!</v>
      </c>
      <c r="AW160" s="807" t="e">
        <f t="shared" si="302"/>
        <v>#DIV/0!</v>
      </c>
      <c r="AX160" s="807">
        <f t="shared" si="303"/>
        <v>0</v>
      </c>
      <c r="AY160" s="807" t="e">
        <f t="shared" si="304"/>
        <v>#DIV/0!</v>
      </c>
      <c r="AZ160" s="809" t="s">
        <v>1372</v>
      </c>
      <c r="BA160" s="814">
        <v>1</v>
      </c>
      <c r="BB160" s="806" t="str">
        <f t="shared" si="305"/>
        <v>Organizar la publicación de la información sobre la gestión de la entidad para proporcionar información relevante a los grupos de interés</v>
      </c>
      <c r="BC160" s="810">
        <f t="shared" si="306"/>
        <v>0</v>
      </c>
      <c r="BD160" s="817">
        <v>1</v>
      </c>
      <c r="BE160" s="810">
        <v>0</v>
      </c>
      <c r="BF160" s="807">
        <f t="shared" si="307"/>
        <v>1</v>
      </c>
      <c r="BG160" s="807" t="e">
        <f t="shared" si="308"/>
        <v>#DIV/0!</v>
      </c>
      <c r="BH160" s="807">
        <f t="shared" si="309"/>
        <v>1</v>
      </c>
      <c r="BI160" s="807" t="e">
        <f t="shared" si="310"/>
        <v>#DIV/0!</v>
      </c>
      <c r="BJ160" s="808" t="s">
        <v>1766</v>
      </c>
      <c r="BK160" s="814">
        <v>0</v>
      </c>
      <c r="BL160" s="806" t="str">
        <f t="shared" si="311"/>
        <v>Organizar la publicación de la información sobre la gestión de la entidad para proporcionar información relevante a los grupos de interés</v>
      </c>
      <c r="BM160" s="810">
        <f t="shared" si="312"/>
        <v>0</v>
      </c>
      <c r="BN160" s="814">
        <v>0</v>
      </c>
      <c r="BO160" s="917">
        <v>0</v>
      </c>
      <c r="BP160" s="807" t="e">
        <f t="shared" si="313"/>
        <v>#DIV/0!</v>
      </c>
      <c r="BQ160" s="807" t="e">
        <f t="shared" si="314"/>
        <v>#DIV/0!</v>
      </c>
      <c r="BR160" s="807">
        <f t="shared" si="315"/>
        <v>1</v>
      </c>
      <c r="BS160" s="807" t="e">
        <f t="shared" si="316"/>
        <v>#DIV/0!</v>
      </c>
      <c r="BT160" s="916" t="s">
        <v>1823</v>
      </c>
      <c r="BU160" s="814">
        <v>0</v>
      </c>
      <c r="BV160" s="806" t="str">
        <f t="shared" si="317"/>
        <v>Organizar la publicación de la información sobre la gestión de la entidad para proporcionar información relevante a los grupos de interés</v>
      </c>
      <c r="BW160" s="810">
        <f t="shared" si="318"/>
        <v>0</v>
      </c>
      <c r="BX160" s="1044">
        <v>0</v>
      </c>
      <c r="BY160" s="1043">
        <v>0</v>
      </c>
      <c r="BZ160" s="805" t="e">
        <f t="shared" si="319"/>
        <v>#DIV/0!</v>
      </c>
      <c r="CA160" s="805" t="e">
        <f t="shared" si="320"/>
        <v>#DIV/0!</v>
      </c>
      <c r="CB160" s="805">
        <f t="shared" si="321"/>
        <v>1</v>
      </c>
      <c r="CC160" s="805" t="e">
        <f t="shared" si="322"/>
        <v>#DIV/0!</v>
      </c>
      <c r="CD160" s="682" t="s">
        <v>1962</v>
      </c>
      <c r="CE160" s="631" t="str">
        <f t="shared" si="323"/>
        <v>No Prog ni Ejec</v>
      </c>
      <c r="CF160" s="631" t="str">
        <f t="shared" si="324"/>
        <v>No Prog ni Ejec</v>
      </c>
      <c r="CG160" s="631">
        <f t="shared" si="325"/>
        <v>1</v>
      </c>
      <c r="CH160" s="631" t="str">
        <f t="shared" si="326"/>
        <v>No Prog ni Ejec</v>
      </c>
      <c r="CI160" s="631" t="str">
        <f t="shared" si="327"/>
        <v>No Prog ni Ejec</v>
      </c>
      <c r="CJ160" s="631" t="str">
        <f t="shared" si="328"/>
        <v>No Prog ni Ejec</v>
      </c>
      <c r="CK160" s="631" t="str">
        <f t="shared" si="329"/>
        <v>No Prog ni Ejec</v>
      </c>
      <c r="CL160" s="685" t="str">
        <f t="shared" si="330"/>
        <v>No Prog ni Ejec</v>
      </c>
      <c r="CM160" s="127">
        <f t="shared" si="272"/>
        <v>0</v>
      </c>
      <c r="CR160" s="121">
        <v>1</v>
      </c>
      <c r="CS160" s="155"/>
      <c r="CT160" s="155"/>
      <c r="CU160" s="155"/>
      <c r="CV160" s="155"/>
      <c r="CW160" s="155"/>
      <c r="CX160" s="155"/>
      <c r="CY160" s="155"/>
      <c r="CZ160" s="155"/>
      <c r="DA160" s="155"/>
      <c r="DB160" s="155"/>
      <c r="DC160" s="155"/>
    </row>
    <row r="161" spans="1:107" s="77" customFormat="1" ht="109.5" customHeight="1" x14ac:dyDescent="0.2">
      <c r="A161" s="813">
        <v>12000</v>
      </c>
      <c r="B161" s="806" t="s">
        <v>15</v>
      </c>
      <c r="C161" s="806" t="s">
        <v>336</v>
      </c>
      <c r="D161" s="822" t="s">
        <v>1017</v>
      </c>
      <c r="E161" s="822"/>
      <c r="F161" s="822"/>
      <c r="G161" s="822"/>
      <c r="H161" s="822"/>
      <c r="I161" s="822"/>
      <c r="J161" s="822"/>
      <c r="K161" s="822"/>
      <c r="L161" s="822"/>
      <c r="M161" s="822"/>
      <c r="N161" s="822"/>
      <c r="O161" s="822"/>
      <c r="P161" s="822"/>
      <c r="Q161" s="806" t="s">
        <v>1125</v>
      </c>
      <c r="R161" s="806" t="s">
        <v>1765</v>
      </c>
      <c r="S161" s="814" t="s">
        <v>53</v>
      </c>
      <c r="T161" s="806" t="s">
        <v>94</v>
      </c>
      <c r="U161" s="806" t="s">
        <v>204</v>
      </c>
      <c r="V161" s="806" t="s">
        <v>204</v>
      </c>
      <c r="W161" s="814" t="s">
        <v>956</v>
      </c>
      <c r="X161" s="806" t="s">
        <v>545</v>
      </c>
      <c r="Y161" s="817" t="s">
        <v>390</v>
      </c>
      <c r="Z161" s="814">
        <v>1</v>
      </c>
      <c r="AA161" s="814" t="s">
        <v>947</v>
      </c>
      <c r="AB161" s="806" t="s">
        <v>544</v>
      </c>
      <c r="AC161" s="810">
        <v>0</v>
      </c>
      <c r="AD161" s="811">
        <v>1</v>
      </c>
      <c r="AE161" s="806" t="s">
        <v>18</v>
      </c>
      <c r="AF161" s="806" t="s">
        <v>24</v>
      </c>
      <c r="AG161" s="806" t="s">
        <v>204</v>
      </c>
      <c r="AH161" s="806" t="s">
        <v>633</v>
      </c>
      <c r="AI161" s="806" t="s">
        <v>1045</v>
      </c>
      <c r="AJ161" s="806" t="s">
        <v>1288</v>
      </c>
      <c r="AK161" s="806" t="s">
        <v>546</v>
      </c>
      <c r="AL161" s="806" t="s">
        <v>40</v>
      </c>
      <c r="AM161" s="814">
        <v>1</v>
      </c>
      <c r="AN161" s="806" t="str">
        <f t="shared" si="297"/>
        <v>Elaborar y publicar el informe de gestión de la entidad vigencia 2018</v>
      </c>
      <c r="AO161" s="812">
        <f t="shared" si="298"/>
        <v>0</v>
      </c>
      <c r="AP161" s="836" t="s">
        <v>48</v>
      </c>
      <c r="AQ161" s="66">
        <v>1</v>
      </c>
      <c r="AR161" s="806" t="str">
        <f t="shared" si="299"/>
        <v>Elaborar y publicar el informe de gestión de la entidad vigencia 2018</v>
      </c>
      <c r="AS161" s="810">
        <f t="shared" si="300"/>
        <v>0</v>
      </c>
      <c r="AT161" s="817">
        <v>1</v>
      </c>
      <c r="AU161" s="819">
        <v>0</v>
      </c>
      <c r="AV161" s="807">
        <f t="shared" si="301"/>
        <v>1</v>
      </c>
      <c r="AW161" s="807" t="e">
        <f t="shared" si="302"/>
        <v>#DIV/0!</v>
      </c>
      <c r="AX161" s="807">
        <f t="shared" si="303"/>
        <v>1</v>
      </c>
      <c r="AY161" s="807" t="e">
        <f t="shared" si="304"/>
        <v>#DIV/0!</v>
      </c>
      <c r="AZ161" s="808" t="s">
        <v>1597</v>
      </c>
      <c r="BA161" s="814">
        <v>0</v>
      </c>
      <c r="BB161" s="806" t="str">
        <f t="shared" si="305"/>
        <v>Elaborar y publicar el informe de gestión de la entidad vigencia 2018</v>
      </c>
      <c r="BC161" s="810">
        <f t="shared" si="306"/>
        <v>0</v>
      </c>
      <c r="BD161" s="817">
        <v>0</v>
      </c>
      <c r="BE161" s="810">
        <v>0</v>
      </c>
      <c r="BF161" s="807" t="e">
        <f t="shared" si="307"/>
        <v>#DIV/0!</v>
      </c>
      <c r="BG161" s="807" t="e">
        <f t="shared" si="308"/>
        <v>#DIV/0!</v>
      </c>
      <c r="BH161" s="807">
        <f t="shared" si="309"/>
        <v>1</v>
      </c>
      <c r="BI161" s="807" t="e">
        <f t="shared" si="310"/>
        <v>#DIV/0!</v>
      </c>
      <c r="BJ161" s="809"/>
      <c r="BK161" s="814">
        <v>0</v>
      </c>
      <c r="BL161" s="806" t="str">
        <f t="shared" si="311"/>
        <v>Elaborar y publicar el informe de gestión de la entidad vigencia 2018</v>
      </c>
      <c r="BM161" s="810">
        <f t="shared" si="312"/>
        <v>0</v>
      </c>
      <c r="BN161" s="814">
        <v>0</v>
      </c>
      <c r="BO161" s="917">
        <v>0</v>
      </c>
      <c r="BP161" s="807" t="e">
        <f t="shared" si="313"/>
        <v>#DIV/0!</v>
      </c>
      <c r="BQ161" s="807" t="e">
        <f t="shared" si="314"/>
        <v>#DIV/0!</v>
      </c>
      <c r="BR161" s="807">
        <f t="shared" si="315"/>
        <v>1</v>
      </c>
      <c r="BS161" s="807" t="e">
        <f t="shared" si="316"/>
        <v>#DIV/0!</v>
      </c>
      <c r="BT161" s="916" t="s">
        <v>1823</v>
      </c>
      <c r="BU161" s="814">
        <v>0</v>
      </c>
      <c r="BV161" s="806" t="str">
        <f t="shared" si="317"/>
        <v>Elaborar y publicar el informe de gestión de la entidad vigencia 2018</v>
      </c>
      <c r="BW161" s="810">
        <f t="shared" si="318"/>
        <v>0</v>
      </c>
      <c r="BX161" s="1044">
        <v>0</v>
      </c>
      <c r="BY161" s="1043">
        <v>0</v>
      </c>
      <c r="BZ161" s="805" t="e">
        <f t="shared" si="319"/>
        <v>#DIV/0!</v>
      </c>
      <c r="CA161" s="805" t="e">
        <f t="shared" si="320"/>
        <v>#DIV/0!</v>
      </c>
      <c r="CB161" s="805">
        <f t="shared" si="321"/>
        <v>1</v>
      </c>
      <c r="CC161" s="805" t="e">
        <f t="shared" si="322"/>
        <v>#DIV/0!</v>
      </c>
      <c r="CD161" s="682" t="s">
        <v>1962</v>
      </c>
      <c r="CE161" s="631">
        <f t="shared" si="323"/>
        <v>1</v>
      </c>
      <c r="CF161" s="631" t="str">
        <f t="shared" si="324"/>
        <v>No Prog ni Ejec</v>
      </c>
      <c r="CG161" s="631" t="str">
        <f t="shared" si="325"/>
        <v>No Prog ni Ejec</v>
      </c>
      <c r="CH161" s="631" t="str">
        <f t="shared" si="326"/>
        <v>No Prog ni Ejec</v>
      </c>
      <c r="CI161" s="631" t="str">
        <f t="shared" si="327"/>
        <v>No Prog ni Ejec</v>
      </c>
      <c r="CJ161" s="631" t="str">
        <f t="shared" si="328"/>
        <v>No Prog ni Ejec</v>
      </c>
      <c r="CK161" s="631" t="str">
        <f t="shared" si="329"/>
        <v>No Prog ni Ejec</v>
      </c>
      <c r="CL161" s="685" t="str">
        <f t="shared" si="330"/>
        <v>No Prog ni Ejec</v>
      </c>
      <c r="CM161" s="127">
        <f t="shared" si="272"/>
        <v>0</v>
      </c>
      <c r="CR161" s="121">
        <v>1</v>
      </c>
      <c r="CS161" s="155"/>
      <c r="CT161" s="155"/>
      <c r="CU161" s="155"/>
      <c r="CV161" s="155"/>
      <c r="CW161" s="155"/>
      <c r="CX161" s="155"/>
      <c r="CY161" s="155"/>
      <c r="CZ161" s="155"/>
      <c r="DA161" s="155"/>
      <c r="DB161" s="155"/>
      <c r="DC161" s="155"/>
    </row>
    <row r="162" spans="1:107" s="77" customFormat="1" ht="118.5" customHeight="1" x14ac:dyDescent="0.2">
      <c r="A162" s="813">
        <v>12000</v>
      </c>
      <c r="B162" s="806" t="s">
        <v>15</v>
      </c>
      <c r="C162" s="806" t="s">
        <v>336</v>
      </c>
      <c r="D162" s="822" t="s">
        <v>1017</v>
      </c>
      <c r="E162" s="822"/>
      <c r="F162" s="822"/>
      <c r="G162" s="822"/>
      <c r="H162" s="822"/>
      <c r="I162" s="822"/>
      <c r="J162" s="822"/>
      <c r="K162" s="822"/>
      <c r="L162" s="822"/>
      <c r="M162" s="822"/>
      <c r="N162" s="822"/>
      <c r="O162" s="822"/>
      <c r="P162" s="822"/>
      <c r="Q162" s="806" t="s">
        <v>1125</v>
      </c>
      <c r="R162" s="806" t="s">
        <v>1137</v>
      </c>
      <c r="S162" s="814" t="s">
        <v>53</v>
      </c>
      <c r="T162" s="806" t="s">
        <v>94</v>
      </c>
      <c r="U162" s="806" t="s">
        <v>204</v>
      </c>
      <c r="V162" s="806" t="s">
        <v>204</v>
      </c>
      <c r="W162" s="814" t="s">
        <v>957</v>
      </c>
      <c r="X162" s="806" t="s">
        <v>548</v>
      </c>
      <c r="Y162" s="817" t="s">
        <v>390</v>
      </c>
      <c r="Z162" s="814">
        <v>1</v>
      </c>
      <c r="AA162" s="814" t="s">
        <v>948</v>
      </c>
      <c r="AB162" s="806" t="s">
        <v>547</v>
      </c>
      <c r="AC162" s="810">
        <v>0</v>
      </c>
      <c r="AD162" s="811">
        <v>1</v>
      </c>
      <c r="AE162" s="806" t="s">
        <v>287</v>
      </c>
      <c r="AF162" s="806" t="s">
        <v>304</v>
      </c>
      <c r="AG162" s="806" t="s">
        <v>204</v>
      </c>
      <c r="AH162" s="806" t="s">
        <v>633</v>
      </c>
      <c r="AI162" s="806" t="s">
        <v>1049</v>
      </c>
      <c r="AJ162" s="806" t="s">
        <v>1266</v>
      </c>
      <c r="AK162" s="806" t="s">
        <v>549</v>
      </c>
      <c r="AL162" s="806" t="s">
        <v>40</v>
      </c>
      <c r="AM162" s="814">
        <v>1</v>
      </c>
      <c r="AN162" s="806" t="str">
        <f t="shared" si="297"/>
        <v>Autoevaluar el cumplimiento de la estrategia de rendición de cuentas implementada por la entidad.</v>
      </c>
      <c r="AO162" s="812">
        <f t="shared" si="298"/>
        <v>0</v>
      </c>
      <c r="AP162" s="836" t="s">
        <v>48</v>
      </c>
      <c r="AQ162" s="66">
        <v>1</v>
      </c>
      <c r="AR162" s="806" t="str">
        <f t="shared" si="299"/>
        <v>Autoevaluar el cumplimiento de la estrategia de rendición de cuentas implementada por la entidad.</v>
      </c>
      <c r="AS162" s="810">
        <f t="shared" si="300"/>
        <v>0</v>
      </c>
      <c r="AT162" s="817">
        <v>1</v>
      </c>
      <c r="AU162" s="819">
        <v>0</v>
      </c>
      <c r="AV162" s="807">
        <f t="shared" si="301"/>
        <v>1</v>
      </c>
      <c r="AW162" s="807" t="e">
        <f t="shared" si="302"/>
        <v>#DIV/0!</v>
      </c>
      <c r="AX162" s="807">
        <f t="shared" si="303"/>
        <v>1</v>
      </c>
      <c r="AY162" s="807" t="e">
        <f t="shared" si="304"/>
        <v>#DIV/0!</v>
      </c>
      <c r="AZ162" s="809"/>
      <c r="BA162" s="814">
        <v>0</v>
      </c>
      <c r="BB162" s="806" t="str">
        <f t="shared" si="305"/>
        <v>Autoevaluar el cumplimiento de la estrategia de rendición de cuentas implementada por la entidad.</v>
      </c>
      <c r="BC162" s="810">
        <f t="shared" si="306"/>
        <v>0</v>
      </c>
      <c r="BD162" s="817">
        <v>0</v>
      </c>
      <c r="BE162" s="810">
        <v>0</v>
      </c>
      <c r="BF162" s="807" t="e">
        <f t="shared" si="307"/>
        <v>#DIV/0!</v>
      </c>
      <c r="BG162" s="807" t="e">
        <f t="shared" si="308"/>
        <v>#DIV/0!</v>
      </c>
      <c r="BH162" s="807">
        <f t="shared" si="309"/>
        <v>1</v>
      </c>
      <c r="BI162" s="807" t="e">
        <f t="shared" si="310"/>
        <v>#DIV/0!</v>
      </c>
      <c r="BJ162" s="809"/>
      <c r="BK162" s="814">
        <v>0</v>
      </c>
      <c r="BL162" s="806" t="str">
        <f t="shared" si="311"/>
        <v>Autoevaluar el cumplimiento de la estrategia de rendición de cuentas implementada por la entidad.</v>
      </c>
      <c r="BM162" s="810">
        <f t="shared" si="312"/>
        <v>0</v>
      </c>
      <c r="BN162" s="814">
        <v>0</v>
      </c>
      <c r="BO162" s="917">
        <v>0</v>
      </c>
      <c r="BP162" s="807" t="e">
        <f t="shared" si="313"/>
        <v>#DIV/0!</v>
      </c>
      <c r="BQ162" s="807" t="e">
        <f t="shared" si="314"/>
        <v>#DIV/0!</v>
      </c>
      <c r="BR162" s="807">
        <f t="shared" si="315"/>
        <v>1</v>
      </c>
      <c r="BS162" s="807" t="e">
        <f t="shared" si="316"/>
        <v>#DIV/0!</v>
      </c>
      <c r="BT162" s="916" t="s">
        <v>1823</v>
      </c>
      <c r="BU162" s="814">
        <v>0</v>
      </c>
      <c r="BV162" s="806" t="str">
        <f t="shared" si="317"/>
        <v>Autoevaluar el cumplimiento de la estrategia de rendición de cuentas implementada por la entidad.</v>
      </c>
      <c r="BW162" s="810">
        <f t="shared" si="318"/>
        <v>0</v>
      </c>
      <c r="BX162" s="1044">
        <v>0</v>
      </c>
      <c r="BY162" s="1043">
        <v>0</v>
      </c>
      <c r="BZ162" s="805" t="e">
        <f t="shared" si="319"/>
        <v>#DIV/0!</v>
      </c>
      <c r="CA162" s="805" t="e">
        <f t="shared" si="320"/>
        <v>#DIV/0!</v>
      </c>
      <c r="CB162" s="805">
        <f t="shared" si="321"/>
        <v>1</v>
      </c>
      <c r="CC162" s="805" t="e">
        <f t="shared" si="322"/>
        <v>#DIV/0!</v>
      </c>
      <c r="CD162" s="682" t="s">
        <v>1962</v>
      </c>
      <c r="CE162" s="631">
        <f t="shared" si="323"/>
        <v>1</v>
      </c>
      <c r="CF162" s="631" t="str">
        <f t="shared" si="324"/>
        <v>No Prog ni Ejec</v>
      </c>
      <c r="CG162" s="631" t="str">
        <f t="shared" si="325"/>
        <v>No Prog ni Ejec</v>
      </c>
      <c r="CH162" s="631" t="str">
        <f t="shared" si="326"/>
        <v>No Prog ni Ejec</v>
      </c>
      <c r="CI162" s="631" t="str">
        <f t="shared" si="327"/>
        <v>No Prog ni Ejec</v>
      </c>
      <c r="CJ162" s="631" t="str">
        <f t="shared" si="328"/>
        <v>No Prog ni Ejec</v>
      </c>
      <c r="CK162" s="631" t="str">
        <f t="shared" si="329"/>
        <v>No Prog ni Ejec</v>
      </c>
      <c r="CL162" s="685" t="str">
        <f t="shared" si="330"/>
        <v>No Prog ni Ejec</v>
      </c>
      <c r="CM162" s="127">
        <f t="shared" si="272"/>
        <v>0</v>
      </c>
      <c r="CR162" s="121">
        <v>1</v>
      </c>
      <c r="CS162" s="155"/>
      <c r="CT162" s="155"/>
      <c r="CU162" s="155"/>
      <c r="CV162" s="155"/>
      <c r="CW162" s="155"/>
      <c r="CX162" s="155"/>
      <c r="CY162" s="155"/>
      <c r="CZ162" s="155"/>
      <c r="DA162" s="155"/>
      <c r="DB162" s="155"/>
      <c r="DC162" s="155"/>
    </row>
    <row r="163" spans="1:107" s="77" customFormat="1" ht="158.25" customHeight="1" x14ac:dyDescent="0.2">
      <c r="A163" s="813">
        <v>12000</v>
      </c>
      <c r="B163" s="806" t="s">
        <v>15</v>
      </c>
      <c r="C163" s="806" t="s">
        <v>336</v>
      </c>
      <c r="D163" s="822" t="s">
        <v>1017</v>
      </c>
      <c r="E163" s="822"/>
      <c r="F163" s="822"/>
      <c r="G163" s="822"/>
      <c r="H163" s="822"/>
      <c r="I163" s="822"/>
      <c r="J163" s="822"/>
      <c r="K163" s="822"/>
      <c r="L163" s="822"/>
      <c r="M163" s="822"/>
      <c r="N163" s="822"/>
      <c r="O163" s="822"/>
      <c r="P163" s="822"/>
      <c r="Q163" s="806" t="s">
        <v>1598</v>
      </c>
      <c r="R163" s="806" t="s">
        <v>1133</v>
      </c>
      <c r="S163" s="814" t="s">
        <v>53</v>
      </c>
      <c r="T163" s="806" t="s">
        <v>94</v>
      </c>
      <c r="U163" s="806" t="s">
        <v>204</v>
      </c>
      <c r="V163" s="806" t="s">
        <v>204</v>
      </c>
      <c r="W163" s="814" t="s">
        <v>958</v>
      </c>
      <c r="X163" s="806" t="s">
        <v>551</v>
      </c>
      <c r="Y163" s="817" t="s">
        <v>51</v>
      </c>
      <c r="Z163" s="805">
        <v>1</v>
      </c>
      <c r="AA163" s="814" t="s">
        <v>949</v>
      </c>
      <c r="AB163" s="806" t="s">
        <v>550</v>
      </c>
      <c r="AC163" s="810">
        <v>0</v>
      </c>
      <c r="AD163" s="811">
        <v>1</v>
      </c>
      <c r="AE163" s="806" t="s">
        <v>18</v>
      </c>
      <c r="AF163" s="806" t="s">
        <v>24</v>
      </c>
      <c r="AG163" s="806" t="s">
        <v>204</v>
      </c>
      <c r="AH163" s="806" t="s">
        <v>633</v>
      </c>
      <c r="AI163" s="806" t="s">
        <v>1045</v>
      </c>
      <c r="AJ163" s="806" t="s">
        <v>1288</v>
      </c>
      <c r="AK163" s="806" t="s">
        <v>552</v>
      </c>
      <c r="AL163" s="806" t="s">
        <v>296</v>
      </c>
      <c r="AM163" s="805">
        <v>1</v>
      </c>
      <c r="AN163" s="806" t="str">
        <f t="shared" si="297"/>
        <v xml:space="preserve">Articular la publicación de información mínima requerida por la Ley 1712 de 2014 en página web </v>
      </c>
      <c r="AO163" s="812">
        <f t="shared" si="298"/>
        <v>0</v>
      </c>
      <c r="AP163" s="836" t="s">
        <v>48</v>
      </c>
      <c r="AQ163" s="805">
        <v>0.25</v>
      </c>
      <c r="AR163" s="806" t="str">
        <f>+AN163</f>
        <v xml:space="preserve">Articular la publicación de información mínima requerida por la Ley 1712 de 2014 en página web </v>
      </c>
      <c r="AS163" s="810">
        <f t="shared" si="300"/>
        <v>0</v>
      </c>
      <c r="AT163" s="824">
        <f>(13/13)*25%</f>
        <v>0.25</v>
      </c>
      <c r="AU163" s="819">
        <v>0</v>
      </c>
      <c r="AV163" s="807">
        <f t="shared" si="301"/>
        <v>1</v>
      </c>
      <c r="AW163" s="807" t="e">
        <f t="shared" si="302"/>
        <v>#DIV/0!</v>
      </c>
      <c r="AX163" s="807">
        <f t="shared" si="303"/>
        <v>0.25</v>
      </c>
      <c r="AY163" s="807" t="e">
        <f t="shared" si="304"/>
        <v>#DIV/0!</v>
      </c>
      <c r="AZ163" s="808" t="s">
        <v>1373</v>
      </c>
      <c r="BA163" s="805">
        <v>0.25</v>
      </c>
      <c r="BB163" s="806" t="str">
        <f t="shared" si="305"/>
        <v xml:space="preserve">Articular la publicación de información mínima requerida por la Ley 1712 de 2014 en página web </v>
      </c>
      <c r="BC163" s="810">
        <f t="shared" si="306"/>
        <v>0</v>
      </c>
      <c r="BD163" s="824">
        <f>(6/6)*25%</f>
        <v>0.25</v>
      </c>
      <c r="BE163" s="810">
        <v>0</v>
      </c>
      <c r="BF163" s="807">
        <f t="shared" si="307"/>
        <v>1</v>
      </c>
      <c r="BG163" s="807" t="e">
        <f t="shared" si="308"/>
        <v>#DIV/0!</v>
      </c>
      <c r="BH163" s="807">
        <f t="shared" si="309"/>
        <v>0.5</v>
      </c>
      <c r="BI163" s="807" t="e">
        <f t="shared" si="310"/>
        <v>#DIV/0!</v>
      </c>
      <c r="BJ163" s="809" t="s">
        <v>1678</v>
      </c>
      <c r="BK163" s="805">
        <v>0.25</v>
      </c>
      <c r="BL163" s="806" t="str">
        <f t="shared" si="311"/>
        <v xml:space="preserve">Articular la publicación de información mínima requerida por la Ley 1712 de 2014 en página web </v>
      </c>
      <c r="BM163" s="810">
        <f t="shared" si="312"/>
        <v>0</v>
      </c>
      <c r="BN163" s="918">
        <f>7/7*0.25</f>
        <v>0.25</v>
      </c>
      <c r="BO163" s="917">
        <v>0</v>
      </c>
      <c r="BP163" s="807">
        <f t="shared" si="313"/>
        <v>1</v>
      </c>
      <c r="BQ163" s="807" t="e">
        <f t="shared" si="314"/>
        <v>#DIV/0!</v>
      </c>
      <c r="BR163" s="807">
        <f t="shared" si="315"/>
        <v>0.75</v>
      </c>
      <c r="BS163" s="807" t="e">
        <f t="shared" si="316"/>
        <v>#DIV/0!</v>
      </c>
      <c r="BT163" s="916" t="s">
        <v>1829</v>
      </c>
      <c r="BU163" s="805">
        <v>0.25</v>
      </c>
      <c r="BV163" s="806" t="str">
        <f t="shared" si="317"/>
        <v xml:space="preserve">Articular la publicación de información mínima requerida por la Ley 1712 de 2014 en página web </v>
      </c>
      <c r="BW163" s="810">
        <f t="shared" si="318"/>
        <v>0</v>
      </c>
      <c r="BX163" s="1046">
        <f>(30/30)*BU163</f>
        <v>0.25</v>
      </c>
      <c r="BY163" s="1043">
        <v>0</v>
      </c>
      <c r="BZ163" s="805">
        <f t="shared" si="319"/>
        <v>1</v>
      </c>
      <c r="CA163" s="805" t="e">
        <f t="shared" si="320"/>
        <v>#DIV/0!</v>
      </c>
      <c r="CB163" s="805">
        <f t="shared" si="321"/>
        <v>1</v>
      </c>
      <c r="CC163" s="805" t="e">
        <f t="shared" si="322"/>
        <v>#DIV/0!</v>
      </c>
      <c r="CD163" s="682" t="s">
        <v>1991</v>
      </c>
      <c r="CE163" s="631">
        <f t="shared" si="323"/>
        <v>1</v>
      </c>
      <c r="CF163" s="631" t="str">
        <f t="shared" si="324"/>
        <v>No Prog ni Ejec</v>
      </c>
      <c r="CG163" s="631">
        <f t="shared" si="325"/>
        <v>1</v>
      </c>
      <c r="CH163" s="631" t="str">
        <f t="shared" si="326"/>
        <v>No Prog ni Ejec</v>
      </c>
      <c r="CI163" s="631">
        <f t="shared" si="327"/>
        <v>1</v>
      </c>
      <c r="CJ163" s="631" t="str">
        <f t="shared" si="328"/>
        <v>No Prog ni Ejec</v>
      </c>
      <c r="CK163" s="631">
        <f t="shared" si="329"/>
        <v>1</v>
      </c>
      <c r="CL163" s="685" t="str">
        <f t="shared" si="330"/>
        <v>No Prog ni Ejec</v>
      </c>
      <c r="CM163" s="127">
        <f t="shared" si="272"/>
        <v>0</v>
      </c>
      <c r="CR163" s="121">
        <v>1</v>
      </c>
      <c r="CS163" s="155"/>
      <c r="CT163" s="155"/>
      <c r="CU163" s="155"/>
      <c r="CV163" s="155"/>
      <c r="CW163" s="155"/>
      <c r="CX163" s="155"/>
      <c r="CY163" s="155"/>
      <c r="CZ163" s="155"/>
      <c r="DA163" s="155"/>
      <c r="DB163" s="155"/>
      <c r="DC163" s="155"/>
    </row>
    <row r="164" spans="1:107" s="77" customFormat="1" ht="89.25" x14ac:dyDescent="0.2">
      <c r="A164" s="813">
        <v>11800</v>
      </c>
      <c r="B164" s="806" t="s">
        <v>3</v>
      </c>
      <c r="C164" s="806" t="s">
        <v>336</v>
      </c>
      <c r="D164" s="822" t="s">
        <v>1017</v>
      </c>
      <c r="E164" s="822"/>
      <c r="F164" s="822"/>
      <c r="G164" s="822"/>
      <c r="H164" s="822"/>
      <c r="I164" s="822"/>
      <c r="J164" s="822"/>
      <c r="K164" s="822"/>
      <c r="L164" s="822"/>
      <c r="M164" s="822"/>
      <c r="N164" s="822"/>
      <c r="O164" s="822"/>
      <c r="P164" s="822"/>
      <c r="Q164" s="806" t="s">
        <v>1123</v>
      </c>
      <c r="R164" s="806" t="s">
        <v>1134</v>
      </c>
      <c r="S164" s="814" t="s">
        <v>116</v>
      </c>
      <c r="T164" s="806" t="s">
        <v>94</v>
      </c>
      <c r="U164" s="806" t="s">
        <v>204</v>
      </c>
      <c r="V164" s="806" t="s">
        <v>204</v>
      </c>
      <c r="W164" s="814" t="s">
        <v>1120</v>
      </c>
      <c r="X164" s="806" t="s">
        <v>538</v>
      </c>
      <c r="Y164" s="817" t="s">
        <v>406</v>
      </c>
      <c r="Z164" s="814">
        <v>3</v>
      </c>
      <c r="AA164" s="814" t="s">
        <v>1119</v>
      </c>
      <c r="AB164" s="806" t="s">
        <v>539</v>
      </c>
      <c r="AC164" s="810">
        <v>0</v>
      </c>
      <c r="AD164" s="811">
        <v>1</v>
      </c>
      <c r="AE164" s="806" t="s">
        <v>19</v>
      </c>
      <c r="AF164" s="806" t="s">
        <v>25</v>
      </c>
      <c r="AG164" s="806" t="s">
        <v>204</v>
      </c>
      <c r="AH164" s="806" t="s">
        <v>633</v>
      </c>
      <c r="AI164" s="806" t="s">
        <v>1044</v>
      </c>
      <c r="AJ164" s="806" t="s">
        <v>1283</v>
      </c>
      <c r="AK164" s="806" t="s">
        <v>540</v>
      </c>
      <c r="AL164" s="806" t="s">
        <v>204</v>
      </c>
      <c r="AM164" s="814">
        <v>3</v>
      </c>
      <c r="AN164" s="806" t="str">
        <f t="shared" si="297"/>
        <v>Realizar seguimiento al Mapa de Riesgos Operativos, de Corrupción y de Seguridad Digital y a la efectividad de los controles</v>
      </c>
      <c r="AO164" s="812">
        <f t="shared" si="298"/>
        <v>0</v>
      </c>
      <c r="AP164" s="836" t="s">
        <v>48</v>
      </c>
      <c r="AQ164" s="814">
        <v>1</v>
      </c>
      <c r="AR164" s="806" t="str">
        <f t="shared" si="299"/>
        <v>Realizar seguimiento al Mapa de Riesgos Operativos, de Corrupción y de Seguridad Digital y a la efectividad de los controles</v>
      </c>
      <c r="AS164" s="810">
        <v>0</v>
      </c>
      <c r="AT164" s="814">
        <v>1</v>
      </c>
      <c r="AU164" s="814">
        <v>0</v>
      </c>
      <c r="AV164" s="807">
        <f t="shared" si="301"/>
        <v>1</v>
      </c>
      <c r="AW164" s="807" t="e">
        <f t="shared" si="302"/>
        <v>#DIV/0!</v>
      </c>
      <c r="AX164" s="807">
        <f t="shared" si="303"/>
        <v>0.33333333333333331</v>
      </c>
      <c r="AY164" s="807" t="e">
        <f t="shared" si="304"/>
        <v>#DIV/0!</v>
      </c>
      <c r="AZ164" s="809"/>
      <c r="BA164" s="814">
        <v>1</v>
      </c>
      <c r="BB164" s="806" t="str">
        <f t="shared" si="305"/>
        <v>Realizar seguimiento al Mapa de Riesgos Operativos, de Corrupción y de Seguridad Digital y a la efectividad de los controles</v>
      </c>
      <c r="BC164" s="810">
        <v>0</v>
      </c>
      <c r="BD164" s="817">
        <v>1</v>
      </c>
      <c r="BE164" s="810">
        <v>0</v>
      </c>
      <c r="BF164" s="807">
        <f t="shared" si="307"/>
        <v>1</v>
      </c>
      <c r="BG164" s="807" t="e">
        <f t="shared" si="308"/>
        <v>#DIV/0!</v>
      </c>
      <c r="BH164" s="807">
        <f t="shared" si="309"/>
        <v>0.66666666666666663</v>
      </c>
      <c r="BI164" s="807" t="e">
        <f t="shared" si="310"/>
        <v>#DIV/0!</v>
      </c>
      <c r="BJ164" s="808" t="s">
        <v>1695</v>
      </c>
      <c r="BK164" s="814">
        <v>1</v>
      </c>
      <c r="BL164" s="806" t="str">
        <f t="shared" si="311"/>
        <v>Realizar seguimiento al Mapa de Riesgos Operativos, de Corrupción y de Seguridad Digital y a la efectividad de los controles</v>
      </c>
      <c r="BM164" s="810">
        <v>0</v>
      </c>
      <c r="BN164" s="912">
        <v>1</v>
      </c>
      <c r="BO164" s="911">
        <v>0</v>
      </c>
      <c r="BP164" s="807">
        <f t="shared" si="313"/>
        <v>1</v>
      </c>
      <c r="BQ164" s="807" t="e">
        <f t="shared" si="314"/>
        <v>#DIV/0!</v>
      </c>
      <c r="BR164" s="807">
        <f t="shared" si="315"/>
        <v>1</v>
      </c>
      <c r="BS164" s="807" t="e">
        <f t="shared" si="316"/>
        <v>#DIV/0!</v>
      </c>
      <c r="BT164" s="914" t="s">
        <v>1810</v>
      </c>
      <c r="BU164" s="66">
        <v>0</v>
      </c>
      <c r="BV164" s="806" t="str">
        <f t="shared" si="317"/>
        <v>Realizar seguimiento al Mapa de Riesgos Operativos, de Corrupción y de Seguridad Digital y a la efectividad de los controles</v>
      </c>
      <c r="BW164" s="810">
        <v>0</v>
      </c>
      <c r="BX164" s="1044">
        <v>0</v>
      </c>
      <c r="BY164" s="1043">
        <v>0</v>
      </c>
      <c r="BZ164" s="805" t="e">
        <f t="shared" si="319"/>
        <v>#DIV/0!</v>
      </c>
      <c r="CA164" s="805" t="e">
        <f t="shared" si="320"/>
        <v>#DIV/0!</v>
      </c>
      <c r="CB164" s="805">
        <f t="shared" si="321"/>
        <v>1</v>
      </c>
      <c r="CC164" s="805" t="e">
        <f t="shared" si="322"/>
        <v>#DIV/0!</v>
      </c>
      <c r="CD164" s="1059" t="s">
        <v>1968</v>
      </c>
      <c r="CE164" s="631">
        <f t="shared" si="323"/>
        <v>1</v>
      </c>
      <c r="CF164" s="631" t="str">
        <f t="shared" si="324"/>
        <v>No Prog ni Ejec</v>
      </c>
      <c r="CG164" s="631">
        <f t="shared" si="325"/>
        <v>1</v>
      </c>
      <c r="CH164" s="631" t="str">
        <f t="shared" si="326"/>
        <v>No Prog ni Ejec</v>
      </c>
      <c r="CI164" s="631">
        <f t="shared" si="327"/>
        <v>1</v>
      </c>
      <c r="CJ164" s="631" t="str">
        <f t="shared" si="328"/>
        <v>No Prog ni Ejec</v>
      </c>
      <c r="CK164" s="631" t="str">
        <f t="shared" si="329"/>
        <v>No Prog ni Ejec</v>
      </c>
      <c r="CL164" s="685" t="str">
        <f t="shared" si="330"/>
        <v>No Prog ni Ejec</v>
      </c>
      <c r="CM164" s="127">
        <f t="shared" si="272"/>
        <v>0</v>
      </c>
      <c r="CR164" s="121">
        <v>1</v>
      </c>
      <c r="CS164" s="155"/>
      <c r="CT164" s="155"/>
      <c r="CU164" s="155"/>
      <c r="CV164" s="155"/>
      <c r="CW164" s="155"/>
      <c r="CX164" s="155"/>
      <c r="CY164" s="155"/>
      <c r="CZ164" s="155"/>
      <c r="DA164" s="155"/>
      <c r="DB164" s="155"/>
      <c r="DC164" s="155"/>
    </row>
    <row r="165" spans="1:107" s="576" customFormat="1" ht="105" hidden="1" customHeight="1" x14ac:dyDescent="0.2">
      <c r="A165" s="833">
        <v>11500</v>
      </c>
      <c r="B165" s="829" t="s">
        <v>13</v>
      </c>
      <c r="C165" s="829" t="s">
        <v>336</v>
      </c>
      <c r="D165" s="822" t="s">
        <v>1017</v>
      </c>
      <c r="E165" s="822"/>
      <c r="F165" s="822"/>
      <c r="G165" s="822"/>
      <c r="H165" s="822"/>
      <c r="I165" s="822"/>
      <c r="J165" s="822"/>
      <c r="K165" s="822"/>
      <c r="L165" s="822"/>
      <c r="M165" s="822"/>
      <c r="N165" s="822"/>
      <c r="O165" s="822"/>
      <c r="P165" s="822"/>
      <c r="Q165" s="806" t="s">
        <v>1124</v>
      </c>
      <c r="R165" s="806" t="s">
        <v>1777</v>
      </c>
      <c r="S165" s="814" t="s">
        <v>96</v>
      </c>
      <c r="T165" s="806" t="s">
        <v>94</v>
      </c>
      <c r="U165" s="806" t="s">
        <v>204</v>
      </c>
      <c r="V165" s="806" t="s">
        <v>204</v>
      </c>
      <c r="W165" s="834" t="s">
        <v>107</v>
      </c>
      <c r="X165" s="829" t="s">
        <v>1066</v>
      </c>
      <c r="Y165" s="564" t="s">
        <v>406</v>
      </c>
      <c r="Z165" s="581">
        <v>1</v>
      </c>
      <c r="AA165" s="834" t="s">
        <v>97</v>
      </c>
      <c r="AB165" s="829" t="s">
        <v>1065</v>
      </c>
      <c r="AC165" s="835">
        <v>0</v>
      </c>
      <c r="AD165" s="811">
        <v>1</v>
      </c>
      <c r="AE165" s="806" t="s">
        <v>17</v>
      </c>
      <c r="AF165" s="806" t="s">
        <v>299</v>
      </c>
      <c r="AG165" s="806" t="s">
        <v>204</v>
      </c>
      <c r="AH165" s="806" t="s">
        <v>633</v>
      </c>
      <c r="AI165" s="806" t="s">
        <v>71</v>
      </c>
      <c r="AJ165" s="806" t="s">
        <v>204</v>
      </c>
      <c r="AK165" s="829" t="s">
        <v>1064</v>
      </c>
      <c r="AL165" s="806" t="s">
        <v>42</v>
      </c>
      <c r="AM165" s="834">
        <v>1</v>
      </c>
      <c r="AN165" s="848" t="str">
        <f>+AB165</f>
        <v>Racionalizar el trámite “Reconocimiento y pago de prestaciones por concepto de atenciones médico-quirúrgicas a víctimas de eventos catastróficos, terroristas y de accidentes de tránsito” a través de la revisión y mejoramiento del formato FURPEN.</v>
      </c>
      <c r="AO165" s="837">
        <f>+AC165</f>
        <v>0</v>
      </c>
      <c r="AP165" s="836" t="s">
        <v>48</v>
      </c>
      <c r="AQ165" s="834">
        <v>1</v>
      </c>
      <c r="AR165" s="829" t="str">
        <f t="shared" si="299"/>
        <v>Racionalizar el trámite “Reconocimiento y pago de prestaciones por concepto de atenciones médico-quirúrgicas a víctimas de eventos catastróficos, terroristas y de accidentes de tránsito” a través de la revisión y mejoramiento del formato FURPEN.</v>
      </c>
      <c r="AS165" s="835">
        <f>+AO165/4</f>
        <v>0</v>
      </c>
      <c r="AT165" s="834">
        <v>0</v>
      </c>
      <c r="AU165" s="835">
        <v>0</v>
      </c>
      <c r="AV165" s="832">
        <f t="shared" si="301"/>
        <v>0</v>
      </c>
      <c r="AW165" s="832" t="e">
        <f t="shared" si="302"/>
        <v>#DIV/0!</v>
      </c>
      <c r="AX165" s="832">
        <f t="shared" si="303"/>
        <v>0</v>
      </c>
      <c r="AY165" s="832" t="e">
        <f t="shared" si="304"/>
        <v>#DIV/0!</v>
      </c>
      <c r="AZ165" s="829" t="s">
        <v>1325</v>
      </c>
      <c r="BA165" s="834">
        <v>0</v>
      </c>
      <c r="BB165" s="829" t="str">
        <f t="shared" si="305"/>
        <v>Racionalizar el trámite “Reconocimiento y pago de prestaciones por concepto de atenciones médico-quirúrgicas a víctimas de eventos catastróficos, terroristas y de accidentes de tránsito” a través de la revisión y mejoramiento del formato FURPEN.</v>
      </c>
      <c r="BC165" s="835">
        <f>+AO165/4</f>
        <v>0</v>
      </c>
      <c r="BD165" s="564"/>
      <c r="BE165" s="835"/>
      <c r="BF165" s="832" t="e">
        <f t="shared" si="307"/>
        <v>#DIV/0!</v>
      </c>
      <c r="BG165" s="832" t="e">
        <f t="shared" si="308"/>
        <v>#DIV/0!</v>
      </c>
      <c r="BH165" s="832">
        <f t="shared" si="309"/>
        <v>0</v>
      </c>
      <c r="BI165" s="832" t="e">
        <f t="shared" si="310"/>
        <v>#DIV/0!</v>
      </c>
      <c r="BJ165" s="675"/>
      <c r="BK165" s="834">
        <v>0</v>
      </c>
      <c r="BL165" s="829" t="str">
        <f t="shared" si="311"/>
        <v>Racionalizar el trámite “Reconocimiento y pago de prestaciones por concepto de atenciones médico-quirúrgicas a víctimas de eventos catastróficos, terroristas y de accidentes de tránsito” a través de la revisión y mejoramiento del formato FURPEN.</v>
      </c>
      <c r="BM165" s="835">
        <f>+AO165/4</f>
        <v>0</v>
      </c>
      <c r="BN165" s="834"/>
      <c r="BO165" s="834"/>
      <c r="BP165" s="832" t="e">
        <f t="shared" si="313"/>
        <v>#DIV/0!</v>
      </c>
      <c r="BQ165" s="832" t="e">
        <f t="shared" si="314"/>
        <v>#DIV/0!</v>
      </c>
      <c r="BR165" s="832">
        <f t="shared" si="315"/>
        <v>0</v>
      </c>
      <c r="BS165" s="832" t="e">
        <f t="shared" si="316"/>
        <v>#DIV/0!</v>
      </c>
      <c r="BT165" s="568"/>
      <c r="BU165" s="834">
        <v>0</v>
      </c>
      <c r="BV165" s="829" t="str">
        <f t="shared" si="317"/>
        <v>Racionalizar el trámite “Reconocimiento y pago de prestaciones por concepto de atenciones médico-quirúrgicas a víctimas de eventos catastróficos, terroristas y de accidentes de tránsito” a través de la revisión y mejoramiento del formato FURPEN.</v>
      </c>
      <c r="BW165" s="835">
        <f>+AO165/4</f>
        <v>0</v>
      </c>
      <c r="BX165" s="834"/>
      <c r="BY165" s="834"/>
      <c r="BZ165" s="839" t="e">
        <f t="shared" si="319"/>
        <v>#DIV/0!</v>
      </c>
      <c r="CA165" s="839" t="e">
        <f t="shared" si="320"/>
        <v>#DIV/0!</v>
      </c>
      <c r="CB165" s="839">
        <f t="shared" si="321"/>
        <v>0</v>
      </c>
      <c r="CC165" s="839" t="e">
        <f t="shared" si="322"/>
        <v>#DIV/0!</v>
      </c>
      <c r="CD165" s="568"/>
      <c r="CE165" s="633">
        <f t="shared" ref="CE165:CE182" si="331">IF(AND(AQ165=0,AT165=0),"No Prog ni Ejec",IF(AQ165=0,CONCATENATE("No Prog, Ejec=  ",AT165),AT165/AQ165))</f>
        <v>0</v>
      </c>
      <c r="CF165" s="633" t="str">
        <f t="shared" ref="CF165:CF182" si="332">IF(AND(AS165=0,AU165=0),"No Prog ni Ejec",IF(AS165=0,CONCATENATE("No Prog, Ejec=  ",AU165),AU165/AS165))</f>
        <v>No Prog ni Ejec</v>
      </c>
      <c r="CG165" s="633" t="str">
        <f t="shared" ref="CG165:CG182" si="333">IF(AND(BA165=0,BD165=0),"No Prog ni Ejec",IF(BA165=0,CONCATENATE("No Prog, Ejec=  ",BD165),BD165/BA165))</f>
        <v>No Prog ni Ejec</v>
      </c>
      <c r="CH165" s="633" t="str">
        <f t="shared" ref="CH165:CH182" si="334">IF(AND(BC165=0,BE165=0),"No Prog ni Ejec",IF(BC165=0,CONCATENATE("No Prog, Ejec=  ",BE165),BE165/BC165))</f>
        <v>No Prog ni Ejec</v>
      </c>
      <c r="CI165" s="633" t="str">
        <f t="shared" ref="CI165:CI182" si="335">IF(AND(BK165=0,BN165=0),"No Prog ni Ejec",IF(BK165=0,CONCATENATE("No Prog, Ejec=  ",BN165),BN165/BK165))</f>
        <v>No Prog ni Ejec</v>
      </c>
      <c r="CJ165" s="633" t="str">
        <f t="shared" ref="CJ165:CJ182" si="336">IF(AND(BM165=0,BO165=0),"No Prog ni Ejec",IF(BM165=0,CONCATENATE("No Prog, Ejec=  ",BO165),BO165/BM165))</f>
        <v>No Prog ni Ejec</v>
      </c>
      <c r="CK165" s="633" t="str">
        <f t="shared" ref="CK165:CK182" si="337">IF(AND(BU165=0,BX165=0),"No Prog ni Ejec",IF(BU165=0,CONCATENATE("No Prog, Ejec=  ",BX165),BX165/BU165))</f>
        <v>No Prog ni Ejec</v>
      </c>
      <c r="CL165" s="741" t="str">
        <f t="shared" ref="CL165:CL182" si="338">IF(AND(BW165=0,BY165=0),"No Prog ni Ejec",IF(BW165=0,CONCATENATE("No Prog, Ejec=  ",BY165),BY165/BW165))</f>
        <v>No Prog ni Ejec</v>
      </c>
      <c r="CM165" s="569">
        <f t="shared" si="272"/>
        <v>0</v>
      </c>
      <c r="CR165" s="121">
        <v>1</v>
      </c>
      <c r="CS165" s="155"/>
      <c r="CT165" s="155"/>
      <c r="CU165" s="155"/>
      <c r="CV165" s="155"/>
      <c r="CW165" s="155"/>
      <c r="CX165" s="155"/>
      <c r="CY165" s="155"/>
      <c r="CZ165" s="155"/>
      <c r="DA165" s="155"/>
      <c r="DB165" s="155"/>
      <c r="DC165" s="155"/>
    </row>
    <row r="166" spans="1:107" s="77" customFormat="1" ht="101.25" customHeight="1" x14ac:dyDescent="0.2">
      <c r="A166" s="813">
        <v>11200</v>
      </c>
      <c r="B166" s="806" t="s">
        <v>1</v>
      </c>
      <c r="C166" s="806" t="s">
        <v>336</v>
      </c>
      <c r="D166" s="822" t="s">
        <v>1017</v>
      </c>
      <c r="E166" s="822"/>
      <c r="F166" s="822"/>
      <c r="G166" s="822"/>
      <c r="H166" s="822"/>
      <c r="I166" s="822"/>
      <c r="J166" s="822"/>
      <c r="K166" s="822"/>
      <c r="L166" s="822"/>
      <c r="M166" s="822"/>
      <c r="N166" s="822"/>
      <c r="O166" s="822"/>
      <c r="P166" s="822"/>
      <c r="Q166" s="806" t="s">
        <v>1125</v>
      </c>
      <c r="R166" s="806" t="s">
        <v>1137</v>
      </c>
      <c r="S166" s="1210" t="s">
        <v>111</v>
      </c>
      <c r="T166" s="1201" t="s">
        <v>94</v>
      </c>
      <c r="U166" s="806" t="s">
        <v>204</v>
      </c>
      <c r="V166" s="806" t="s">
        <v>204</v>
      </c>
      <c r="W166" s="814" t="s">
        <v>923</v>
      </c>
      <c r="X166" s="806" t="s">
        <v>1431</v>
      </c>
      <c r="Y166" s="817" t="s">
        <v>52</v>
      </c>
      <c r="Z166" s="66">
        <v>1</v>
      </c>
      <c r="AA166" s="814" t="s">
        <v>920</v>
      </c>
      <c r="AB166" s="806" t="s">
        <v>912</v>
      </c>
      <c r="AC166" s="810">
        <v>0</v>
      </c>
      <c r="AD166" s="811">
        <v>1</v>
      </c>
      <c r="AE166" s="806" t="s">
        <v>18</v>
      </c>
      <c r="AF166" s="806" t="s">
        <v>24</v>
      </c>
      <c r="AG166" s="806" t="s">
        <v>204</v>
      </c>
      <c r="AH166" s="806" t="s">
        <v>633</v>
      </c>
      <c r="AI166" s="806" t="s">
        <v>1049</v>
      </c>
      <c r="AJ166" s="806" t="s">
        <v>1266</v>
      </c>
      <c r="AK166" s="806" t="s">
        <v>1443</v>
      </c>
      <c r="AL166" s="806" t="s">
        <v>40</v>
      </c>
      <c r="AM166" s="66">
        <v>1</v>
      </c>
      <c r="AN166" s="806" t="str">
        <f>+AB166</f>
        <v>Realizar la audiencia pública de rendición de cuentas y comunicar los resultados a la ciudadanía y partes interesadas.</v>
      </c>
      <c r="AO166" s="812">
        <f t="shared" ref="AO166:AO174" si="339">+AC166</f>
        <v>0</v>
      </c>
      <c r="AP166" s="836" t="s">
        <v>48</v>
      </c>
      <c r="AQ166" s="66">
        <v>0</v>
      </c>
      <c r="AR166" s="806" t="str">
        <f t="shared" ref="AR166:AR182" si="340">+AN166</f>
        <v>Realizar la audiencia pública de rendición de cuentas y comunicar los resultados a la ciudadanía y partes interesadas.</v>
      </c>
      <c r="AS166" s="810">
        <f>+AO166/4</f>
        <v>0</v>
      </c>
      <c r="AT166" s="466">
        <v>0</v>
      </c>
      <c r="AU166" s="840">
        <v>0</v>
      </c>
      <c r="AV166" s="807" t="e">
        <f t="shared" ref="AV166:AV182" si="341">+(AT166/AQ166)</f>
        <v>#DIV/0!</v>
      </c>
      <c r="AW166" s="807" t="e">
        <f t="shared" ref="AW166:AW182" si="342">+(AU166/AS166)</f>
        <v>#DIV/0!</v>
      </c>
      <c r="AX166" s="807">
        <f t="shared" ref="AX166:AX182" si="343">+(AT166/AM166)</f>
        <v>0</v>
      </c>
      <c r="AY166" s="807" t="e">
        <f t="shared" ref="AY166:AY182" si="344">+(AU166/AO166)</f>
        <v>#DIV/0!</v>
      </c>
      <c r="AZ166" s="465" t="s">
        <v>1326</v>
      </c>
      <c r="BA166" s="66">
        <v>0</v>
      </c>
      <c r="BB166" s="806" t="str">
        <f t="shared" ref="BB166:BB182" si="345">+AN166</f>
        <v>Realizar la audiencia pública de rendición de cuentas y comunicar los resultados a la ciudadanía y partes interesadas.</v>
      </c>
      <c r="BC166" s="810">
        <f>+AO166/4</f>
        <v>0</v>
      </c>
      <c r="BD166" s="817">
        <v>0</v>
      </c>
      <c r="BE166" s="810">
        <v>0</v>
      </c>
      <c r="BF166" s="807" t="e">
        <f t="shared" ref="BF166:BF182" si="346">+(BD166/BA166)</f>
        <v>#DIV/0!</v>
      </c>
      <c r="BG166" s="807" t="e">
        <f t="shared" ref="BG166:BG182" si="347">+(BE166/BC166)</f>
        <v>#DIV/0!</v>
      </c>
      <c r="BH166" s="807">
        <f t="shared" ref="BH166:BH182" si="348">+(BD166+AT166)/AM166</f>
        <v>0</v>
      </c>
      <c r="BI166" s="807" t="e">
        <f t="shared" ref="BI166:BI182" si="349">+(BE166+AU166)/AO166</f>
        <v>#DIV/0!</v>
      </c>
      <c r="BJ166" s="809" t="s">
        <v>1650</v>
      </c>
      <c r="BK166" s="66">
        <v>1</v>
      </c>
      <c r="BL166" s="806" t="str">
        <f t="shared" ref="BL166:BL181" si="350">+AN166</f>
        <v>Realizar la audiencia pública de rendición de cuentas y comunicar los resultados a la ciudadanía y partes interesadas.</v>
      </c>
      <c r="BM166" s="810">
        <f>+AO166/4</f>
        <v>0</v>
      </c>
      <c r="BN166" s="936">
        <v>1</v>
      </c>
      <c r="BO166" s="935">
        <v>0</v>
      </c>
      <c r="BP166" s="807">
        <f t="shared" ref="BP166:BP182" si="351">+(BN166/BK166)</f>
        <v>1</v>
      </c>
      <c r="BQ166" s="807" t="e">
        <f t="shared" ref="BQ166:BQ182" si="352">+(BO166/BM166)</f>
        <v>#DIV/0!</v>
      </c>
      <c r="BR166" s="807">
        <f t="shared" ref="BR166:BR182" si="353">+(BD166+AT166+BN166)/AM166</f>
        <v>1</v>
      </c>
      <c r="BS166" s="807" t="e">
        <f t="shared" ref="BS166:BS182" si="354">+(BE166+AU166+BO166)/AO166</f>
        <v>#DIV/0!</v>
      </c>
      <c r="BT166" s="937" t="s">
        <v>1856</v>
      </c>
      <c r="BU166" s="66">
        <v>0</v>
      </c>
      <c r="BV166" s="806" t="str">
        <f t="shared" ref="BV166:BV182" si="355">+AN166</f>
        <v>Realizar la audiencia pública de rendición de cuentas y comunicar los resultados a la ciudadanía y partes interesadas.</v>
      </c>
      <c r="BW166" s="810">
        <f>+AO166/4</f>
        <v>0</v>
      </c>
      <c r="BX166" s="1141">
        <v>0</v>
      </c>
      <c r="BY166" s="1140">
        <v>0</v>
      </c>
      <c r="BZ166" s="805" t="e">
        <f t="shared" ref="BZ166:BZ182" si="356">+(BX166/BU166)</f>
        <v>#DIV/0!</v>
      </c>
      <c r="CA166" s="805" t="e">
        <f t="shared" ref="CA166:CA179" si="357">+(BY166/BW166)</f>
        <v>#DIV/0!</v>
      </c>
      <c r="CB166" s="805">
        <f t="shared" ref="CB166:CB182" si="358">+(BD166+AT166+BN166+BX166)/AM166</f>
        <v>1</v>
      </c>
      <c r="CC166" s="805" t="e">
        <f t="shared" ref="CC166:CC179" si="359">+(BE166+AU166+BO166+BY166)/AO166</f>
        <v>#DIV/0!</v>
      </c>
      <c r="CD166" s="1139" t="s">
        <v>2084</v>
      </c>
      <c r="CE166" s="631" t="str">
        <f t="shared" si="331"/>
        <v>No Prog ni Ejec</v>
      </c>
      <c r="CF166" s="631" t="str">
        <f t="shared" si="332"/>
        <v>No Prog ni Ejec</v>
      </c>
      <c r="CG166" s="631" t="str">
        <f t="shared" si="333"/>
        <v>No Prog ni Ejec</v>
      </c>
      <c r="CH166" s="631" t="str">
        <f t="shared" si="334"/>
        <v>No Prog ni Ejec</v>
      </c>
      <c r="CI166" s="631">
        <f t="shared" si="335"/>
        <v>1</v>
      </c>
      <c r="CJ166" s="631" t="str">
        <f t="shared" si="336"/>
        <v>No Prog ni Ejec</v>
      </c>
      <c r="CK166" s="631" t="str">
        <f t="shared" si="337"/>
        <v>No Prog ni Ejec</v>
      </c>
      <c r="CL166" s="685" t="str">
        <f t="shared" si="338"/>
        <v>No Prog ni Ejec</v>
      </c>
      <c r="CM166" s="127">
        <f t="shared" si="272"/>
        <v>0</v>
      </c>
      <c r="CR166" s="121">
        <v>1</v>
      </c>
      <c r="CS166" s="155"/>
      <c r="CT166" s="155"/>
      <c r="CU166" s="155"/>
      <c r="CV166" s="155"/>
      <c r="CW166" s="155"/>
      <c r="CX166" s="155"/>
      <c r="CY166" s="155"/>
      <c r="CZ166" s="155"/>
      <c r="DA166" s="155"/>
      <c r="DB166" s="155"/>
      <c r="DC166" s="155"/>
    </row>
    <row r="167" spans="1:107" s="77" customFormat="1" ht="101.25" customHeight="1" x14ac:dyDescent="0.2">
      <c r="A167" s="813">
        <v>11200</v>
      </c>
      <c r="B167" s="806" t="s">
        <v>1</v>
      </c>
      <c r="C167" s="806" t="s">
        <v>336</v>
      </c>
      <c r="D167" s="822" t="s">
        <v>1017</v>
      </c>
      <c r="E167" s="822"/>
      <c r="F167" s="822"/>
      <c r="G167" s="822"/>
      <c r="H167" s="822"/>
      <c r="I167" s="822"/>
      <c r="J167" s="822"/>
      <c r="K167" s="822"/>
      <c r="L167" s="822"/>
      <c r="M167" s="822"/>
      <c r="N167" s="822"/>
      <c r="O167" s="822"/>
      <c r="P167" s="822"/>
      <c r="Q167" s="806" t="s">
        <v>1125</v>
      </c>
      <c r="R167" s="806" t="s">
        <v>1137</v>
      </c>
      <c r="S167" s="1210"/>
      <c r="T167" s="1201"/>
      <c r="U167" s="806" t="s">
        <v>204</v>
      </c>
      <c r="V167" s="806" t="s">
        <v>204</v>
      </c>
      <c r="W167" s="814" t="s">
        <v>923</v>
      </c>
      <c r="X167" s="806" t="s">
        <v>1431</v>
      </c>
      <c r="Y167" s="817" t="s">
        <v>52</v>
      </c>
      <c r="Z167" s="66">
        <v>1</v>
      </c>
      <c r="AA167" s="814" t="s">
        <v>920</v>
      </c>
      <c r="AB167" s="806" t="s">
        <v>912</v>
      </c>
      <c r="AC167" s="810">
        <v>10000000</v>
      </c>
      <c r="AD167" s="811">
        <v>1</v>
      </c>
      <c r="AE167" s="806" t="s">
        <v>18</v>
      </c>
      <c r="AF167" s="806" t="s">
        <v>24</v>
      </c>
      <c r="AG167" s="806" t="s">
        <v>204</v>
      </c>
      <c r="AH167" s="806" t="s">
        <v>633</v>
      </c>
      <c r="AI167" s="806" t="s">
        <v>1049</v>
      </c>
      <c r="AJ167" s="806" t="s">
        <v>1266</v>
      </c>
      <c r="AK167" s="806" t="s">
        <v>1434</v>
      </c>
      <c r="AL167" s="806" t="s">
        <v>40</v>
      </c>
      <c r="AM167" s="66">
        <v>1</v>
      </c>
      <c r="AN167" s="806" t="str">
        <f>+AB167</f>
        <v>Realizar la audiencia pública de rendición de cuentas y comunicar los resultados a la ciudadanía y partes interesadas.</v>
      </c>
      <c r="AO167" s="812">
        <f t="shared" si="339"/>
        <v>10000000</v>
      </c>
      <c r="AP167" s="836" t="s">
        <v>46</v>
      </c>
      <c r="AQ167" s="66">
        <v>0</v>
      </c>
      <c r="AR167" s="806" t="str">
        <f t="shared" ref="AR167" si="360">+AN167</f>
        <v>Realizar la audiencia pública de rendición de cuentas y comunicar los resultados a la ciudadanía y partes interesadas.</v>
      </c>
      <c r="AS167" s="810">
        <v>0</v>
      </c>
      <c r="AT167" s="466">
        <v>0</v>
      </c>
      <c r="AU167" s="840">
        <v>0</v>
      </c>
      <c r="AV167" s="807" t="e">
        <f t="shared" ref="AV167" si="361">+(AT167/AQ167)</f>
        <v>#DIV/0!</v>
      </c>
      <c r="AW167" s="807" t="e">
        <f t="shared" ref="AW167" si="362">+(AU167/AS167)</f>
        <v>#DIV/0!</v>
      </c>
      <c r="AX167" s="807">
        <f t="shared" ref="AX167" si="363">+(AT167/AM167)</f>
        <v>0</v>
      </c>
      <c r="AY167" s="807">
        <f t="shared" ref="AY167" si="364">+(AU167/AO167)</f>
        <v>0</v>
      </c>
      <c r="AZ167" s="465" t="s">
        <v>1326</v>
      </c>
      <c r="BA167" s="66">
        <v>0</v>
      </c>
      <c r="BB167" s="806" t="str">
        <f t="shared" ref="BB167" si="365">+AN167</f>
        <v>Realizar la audiencia pública de rendición de cuentas y comunicar los resultados a la ciudadanía y partes interesadas.</v>
      </c>
      <c r="BC167" s="810">
        <v>0</v>
      </c>
      <c r="BD167" s="817">
        <v>0</v>
      </c>
      <c r="BE167" s="810">
        <v>0</v>
      </c>
      <c r="BF167" s="807" t="e">
        <f t="shared" ref="BF167" si="366">+(BD167/BA167)</f>
        <v>#DIV/0!</v>
      </c>
      <c r="BG167" s="807" t="e">
        <f t="shared" ref="BG167" si="367">+(BE167/BC167)</f>
        <v>#DIV/0!</v>
      </c>
      <c r="BH167" s="807">
        <f t="shared" ref="BH167" si="368">+(BD167+AT167)/AM167</f>
        <v>0</v>
      </c>
      <c r="BI167" s="807">
        <f t="shared" ref="BI167" si="369">+(BE167+AU167)/AO167</f>
        <v>0</v>
      </c>
      <c r="BJ167" s="809" t="s">
        <v>1650</v>
      </c>
      <c r="BK167" s="66">
        <v>1</v>
      </c>
      <c r="BL167" s="806" t="str">
        <f t="shared" ref="BL167" si="370">+AN167</f>
        <v>Realizar la audiencia pública de rendición de cuentas y comunicar los resultados a la ciudadanía y partes interesadas.</v>
      </c>
      <c r="BM167" s="810">
        <f>+AO167</f>
        <v>10000000</v>
      </c>
      <c r="BN167" s="936">
        <v>1</v>
      </c>
      <c r="BO167" s="935">
        <v>0</v>
      </c>
      <c r="BP167" s="807">
        <f t="shared" ref="BP167" si="371">+(BN167/BK167)</f>
        <v>1</v>
      </c>
      <c r="BQ167" s="807">
        <f t="shared" ref="BQ167" si="372">+(BO167/BM167)</f>
        <v>0</v>
      </c>
      <c r="BR167" s="807">
        <f t="shared" ref="BR167" si="373">+(BD167+AT167+BN167)/AM167</f>
        <v>1</v>
      </c>
      <c r="BS167" s="807">
        <f t="shared" ref="BS167" si="374">+(BE167+AU167+BO167)/AO167</f>
        <v>0</v>
      </c>
      <c r="BT167" s="937" t="s">
        <v>1857</v>
      </c>
      <c r="BU167" s="66">
        <v>0</v>
      </c>
      <c r="BV167" s="806" t="str">
        <f t="shared" ref="BV167" si="375">+AN167</f>
        <v>Realizar la audiencia pública de rendición de cuentas y comunicar los resultados a la ciudadanía y partes interesadas.</v>
      </c>
      <c r="BW167" s="810">
        <v>0</v>
      </c>
      <c r="BX167" s="814">
        <v>0</v>
      </c>
      <c r="BY167" s="1140">
        <v>0</v>
      </c>
      <c r="BZ167" s="805" t="e">
        <f t="shared" ref="BZ167" si="376">+(BX167/BU167)</f>
        <v>#DIV/0!</v>
      </c>
      <c r="CA167" s="805" t="e">
        <f t="shared" ref="CA167" si="377">+(BY167/BW167)</f>
        <v>#DIV/0!</v>
      </c>
      <c r="CB167" s="805">
        <f t="shared" ref="CB167" si="378">+(BD167+AT167+BN167+BX167)/AM167</f>
        <v>1</v>
      </c>
      <c r="CC167" s="805">
        <f t="shared" ref="CC167" si="379">+(BE167+AU167+BO167+BY167)/AO167</f>
        <v>0</v>
      </c>
      <c r="CD167" s="1137"/>
      <c r="CE167" s="631" t="str">
        <f t="shared" ref="CE167" si="380">IF(AND(AQ167=0,AT167=0),"No Prog ni Ejec",IF(AQ167=0,CONCATENATE("No Prog, Ejec=  ",AT167),AT167/AQ167))</f>
        <v>No Prog ni Ejec</v>
      </c>
      <c r="CF167" s="631" t="str">
        <f t="shared" ref="CF167" si="381">IF(AND(AS167=0,AU167=0),"No Prog ni Ejec",IF(AS167=0,CONCATENATE("No Prog, Ejec=  ",AU167),AU167/AS167))</f>
        <v>No Prog ni Ejec</v>
      </c>
      <c r="CG167" s="631" t="str">
        <f t="shared" ref="CG167" si="382">IF(AND(BA167=0,BD167=0),"No Prog ni Ejec",IF(BA167=0,CONCATENATE("No Prog, Ejec=  ",BD167),BD167/BA167))</f>
        <v>No Prog ni Ejec</v>
      </c>
      <c r="CH167" s="631" t="str">
        <f t="shared" ref="CH167" si="383">IF(AND(BC167=0,BE167=0),"No Prog ni Ejec",IF(BC167=0,CONCATENATE("No Prog, Ejec=  ",BE167),BE167/BC167))</f>
        <v>No Prog ni Ejec</v>
      </c>
      <c r="CI167" s="631">
        <f t="shared" ref="CI167" si="384">IF(AND(BK167=0,BN167=0),"No Prog ni Ejec",IF(BK167=0,CONCATENATE("No Prog, Ejec=  ",BN167),BN167/BK167))</f>
        <v>1</v>
      </c>
      <c r="CJ167" s="631">
        <f t="shared" ref="CJ167" si="385">IF(AND(BM167=0,BO167=0),"No Prog ni Ejec",IF(BM167=0,CONCATENATE("No Prog, Ejec=  ",BO167),BO167/BM167))</f>
        <v>0</v>
      </c>
      <c r="CK167" s="631" t="str">
        <f t="shared" ref="CK167" si="386">IF(AND(BU167=0,BX167=0),"No Prog ni Ejec",IF(BU167=0,CONCATENATE("No Prog, Ejec=  ",BX167),BX167/BU167))</f>
        <v>No Prog ni Ejec</v>
      </c>
      <c r="CL167" s="685" t="str">
        <f t="shared" ref="CL167" si="387">IF(AND(BW167=0,BY167=0),"No Prog ni Ejec",IF(BW167=0,CONCATENATE("No Prog, Ejec=  ",BY167),BY167/BW167))</f>
        <v>No Prog ni Ejec</v>
      </c>
      <c r="CM167" s="127">
        <f t="shared" ref="CM167" si="388">+AC167-AS167-BC167-BM167-BW167</f>
        <v>0</v>
      </c>
      <c r="CR167" s="121"/>
      <c r="CS167" s="155"/>
      <c r="CT167" s="155"/>
      <c r="CU167" s="155"/>
      <c r="CV167" s="155"/>
      <c r="CW167" s="155"/>
      <c r="CX167" s="155"/>
      <c r="CY167" s="155"/>
      <c r="CZ167" s="155"/>
      <c r="DA167" s="155"/>
      <c r="DB167" s="155"/>
      <c r="DC167" s="155"/>
    </row>
    <row r="168" spans="1:107" s="77" customFormat="1" ht="99" customHeight="1" x14ac:dyDescent="0.2">
      <c r="A168" s="813">
        <v>11200</v>
      </c>
      <c r="B168" s="806" t="s">
        <v>1</v>
      </c>
      <c r="C168" s="806" t="s">
        <v>336</v>
      </c>
      <c r="D168" s="822" t="s">
        <v>1017</v>
      </c>
      <c r="E168" s="822"/>
      <c r="F168" s="822"/>
      <c r="G168" s="822"/>
      <c r="H168" s="822"/>
      <c r="I168" s="822"/>
      <c r="J168" s="822"/>
      <c r="K168" s="822"/>
      <c r="L168" s="822"/>
      <c r="M168" s="822"/>
      <c r="N168" s="822"/>
      <c r="O168" s="822"/>
      <c r="P168" s="822"/>
      <c r="Q168" s="806" t="s">
        <v>1125</v>
      </c>
      <c r="R168" s="806" t="s">
        <v>1137</v>
      </c>
      <c r="S168" s="1210" t="s">
        <v>111</v>
      </c>
      <c r="T168" s="1201" t="s">
        <v>94</v>
      </c>
      <c r="U168" s="806" t="s">
        <v>204</v>
      </c>
      <c r="V168" s="806" t="s">
        <v>204</v>
      </c>
      <c r="W168" s="814" t="s">
        <v>924</v>
      </c>
      <c r="X168" s="806" t="s">
        <v>1435</v>
      </c>
      <c r="Y168" s="817" t="s">
        <v>52</v>
      </c>
      <c r="Z168" s="66">
        <v>1</v>
      </c>
      <c r="AA168" s="814" t="s">
        <v>921</v>
      </c>
      <c r="AB168" s="806" t="s">
        <v>913</v>
      </c>
      <c r="AC168" s="810">
        <v>0</v>
      </c>
      <c r="AD168" s="811">
        <v>1</v>
      </c>
      <c r="AE168" s="806" t="s">
        <v>18</v>
      </c>
      <c r="AF168" s="806" t="s">
        <v>24</v>
      </c>
      <c r="AG168" s="806" t="s">
        <v>204</v>
      </c>
      <c r="AH168" s="806" t="s">
        <v>633</v>
      </c>
      <c r="AI168" s="806" t="s">
        <v>1049</v>
      </c>
      <c r="AJ168" s="806" t="s">
        <v>1276</v>
      </c>
      <c r="AK168" s="806" t="s">
        <v>1436</v>
      </c>
      <c r="AL168" s="806" t="s">
        <v>40</v>
      </c>
      <c r="AM168" s="66">
        <v>1</v>
      </c>
      <c r="AN168" s="806" t="str">
        <f>+AB168</f>
        <v>Realizar la rendición de cuentas interna</v>
      </c>
      <c r="AO168" s="812">
        <f t="shared" si="339"/>
        <v>0</v>
      </c>
      <c r="AP168" s="836" t="s">
        <v>48</v>
      </c>
      <c r="AQ168" s="66">
        <v>0</v>
      </c>
      <c r="AR168" s="806" t="str">
        <f t="shared" si="340"/>
        <v>Realizar la rendición de cuentas interna</v>
      </c>
      <c r="AS168" s="810">
        <f>+AO168/4</f>
        <v>0</v>
      </c>
      <c r="AT168" s="466">
        <v>0</v>
      </c>
      <c r="AU168" s="810">
        <v>0</v>
      </c>
      <c r="AV168" s="807" t="e">
        <f t="shared" si="341"/>
        <v>#DIV/0!</v>
      </c>
      <c r="AW168" s="807" t="e">
        <f t="shared" si="342"/>
        <v>#DIV/0!</v>
      </c>
      <c r="AX168" s="807">
        <f t="shared" si="343"/>
        <v>0</v>
      </c>
      <c r="AY168" s="807" t="e">
        <f t="shared" si="344"/>
        <v>#DIV/0!</v>
      </c>
      <c r="AZ168" s="490" t="s">
        <v>1342</v>
      </c>
      <c r="BA168" s="66">
        <v>0</v>
      </c>
      <c r="BB168" s="806" t="str">
        <f t="shared" si="345"/>
        <v>Realizar la rendición de cuentas interna</v>
      </c>
      <c r="BC168" s="810">
        <f>+AO168/4</f>
        <v>0</v>
      </c>
      <c r="BD168" s="817">
        <v>0</v>
      </c>
      <c r="BE168" s="810">
        <v>0</v>
      </c>
      <c r="BF168" s="807" t="e">
        <f t="shared" si="346"/>
        <v>#DIV/0!</v>
      </c>
      <c r="BG168" s="807" t="e">
        <f t="shared" si="347"/>
        <v>#DIV/0!</v>
      </c>
      <c r="BH168" s="807">
        <f t="shared" si="348"/>
        <v>0</v>
      </c>
      <c r="BI168" s="807" t="e">
        <f t="shared" si="349"/>
        <v>#DIV/0!</v>
      </c>
      <c r="BJ168" s="809" t="s">
        <v>1650</v>
      </c>
      <c r="BK168" s="66">
        <v>1</v>
      </c>
      <c r="BL168" s="806" t="str">
        <f t="shared" si="350"/>
        <v>Realizar la rendición de cuentas interna</v>
      </c>
      <c r="BM168" s="810">
        <f>+AO168/4</f>
        <v>0</v>
      </c>
      <c r="BN168" s="936">
        <v>0</v>
      </c>
      <c r="BO168" s="935">
        <v>0</v>
      </c>
      <c r="BP168" s="807">
        <f t="shared" si="351"/>
        <v>0</v>
      </c>
      <c r="BQ168" s="807" t="e">
        <f t="shared" si="352"/>
        <v>#DIV/0!</v>
      </c>
      <c r="BR168" s="807">
        <f t="shared" si="353"/>
        <v>0</v>
      </c>
      <c r="BS168" s="807" t="e">
        <f t="shared" si="354"/>
        <v>#DIV/0!</v>
      </c>
      <c r="BT168" s="937" t="s">
        <v>1858</v>
      </c>
      <c r="BU168" s="66">
        <v>0</v>
      </c>
      <c r="BV168" s="806" t="str">
        <f t="shared" si="355"/>
        <v>Realizar la rendición de cuentas interna</v>
      </c>
      <c r="BW168" s="810">
        <f>+AO168/4</f>
        <v>0</v>
      </c>
      <c r="BX168" s="1141">
        <v>1</v>
      </c>
      <c r="BY168" s="1140">
        <v>0</v>
      </c>
      <c r="BZ168" s="805" t="e">
        <f t="shared" si="356"/>
        <v>#DIV/0!</v>
      </c>
      <c r="CA168" s="805" t="e">
        <f t="shared" si="357"/>
        <v>#DIV/0!</v>
      </c>
      <c r="CB168" s="805">
        <f t="shared" si="358"/>
        <v>1</v>
      </c>
      <c r="CC168" s="805" t="e">
        <f t="shared" si="359"/>
        <v>#DIV/0!</v>
      </c>
      <c r="CD168" s="1139" t="s">
        <v>2085</v>
      </c>
      <c r="CE168" s="631" t="str">
        <f t="shared" si="331"/>
        <v>No Prog ni Ejec</v>
      </c>
      <c r="CF168" s="631" t="str">
        <f t="shared" si="332"/>
        <v>No Prog ni Ejec</v>
      </c>
      <c r="CG168" s="631" t="str">
        <f t="shared" si="333"/>
        <v>No Prog ni Ejec</v>
      </c>
      <c r="CH168" s="631" t="str">
        <f t="shared" si="334"/>
        <v>No Prog ni Ejec</v>
      </c>
      <c r="CI168" s="631">
        <f t="shared" si="335"/>
        <v>0</v>
      </c>
      <c r="CJ168" s="631" t="str">
        <f t="shared" si="336"/>
        <v>No Prog ni Ejec</v>
      </c>
      <c r="CK168" s="631" t="str">
        <f t="shared" si="337"/>
        <v>No Prog, Ejec=  1</v>
      </c>
      <c r="CL168" s="685" t="str">
        <f t="shared" si="338"/>
        <v>No Prog ni Ejec</v>
      </c>
      <c r="CM168" s="127">
        <f t="shared" si="272"/>
        <v>0</v>
      </c>
      <c r="CR168" s="121">
        <v>1</v>
      </c>
      <c r="CS168" s="155"/>
      <c r="CT168" s="155"/>
      <c r="CU168" s="155"/>
      <c r="CV168" s="155"/>
      <c r="CW168" s="155"/>
      <c r="CX168" s="155"/>
      <c r="CY168" s="155"/>
      <c r="CZ168" s="155"/>
      <c r="DA168" s="155"/>
      <c r="DB168" s="155"/>
      <c r="DC168" s="155"/>
    </row>
    <row r="169" spans="1:107" s="77" customFormat="1" ht="99" customHeight="1" x14ac:dyDescent="0.2">
      <c r="A169" s="813">
        <v>11200</v>
      </c>
      <c r="B169" s="806" t="s">
        <v>1</v>
      </c>
      <c r="C169" s="806" t="s">
        <v>336</v>
      </c>
      <c r="D169" s="822" t="s">
        <v>1017</v>
      </c>
      <c r="E169" s="822"/>
      <c r="F169" s="822"/>
      <c r="G169" s="822"/>
      <c r="H169" s="822"/>
      <c r="I169" s="822"/>
      <c r="J169" s="822"/>
      <c r="K169" s="822"/>
      <c r="L169" s="822"/>
      <c r="M169" s="822"/>
      <c r="N169" s="822"/>
      <c r="O169" s="822"/>
      <c r="P169" s="822"/>
      <c r="Q169" s="806" t="s">
        <v>1125</v>
      </c>
      <c r="R169" s="806" t="s">
        <v>1137</v>
      </c>
      <c r="S169" s="1210"/>
      <c r="T169" s="1201"/>
      <c r="U169" s="806" t="s">
        <v>204</v>
      </c>
      <c r="V169" s="806" t="s">
        <v>204</v>
      </c>
      <c r="W169" s="814" t="s">
        <v>924</v>
      </c>
      <c r="X169" s="806" t="s">
        <v>1435</v>
      </c>
      <c r="Y169" s="817" t="s">
        <v>52</v>
      </c>
      <c r="Z169" s="66">
        <v>1</v>
      </c>
      <c r="AA169" s="814" t="s">
        <v>921</v>
      </c>
      <c r="AB169" s="806" t="s">
        <v>913</v>
      </c>
      <c r="AC169" s="810">
        <v>0</v>
      </c>
      <c r="AD169" s="811">
        <v>1</v>
      </c>
      <c r="AE169" s="806" t="s">
        <v>18</v>
      </c>
      <c r="AF169" s="806" t="s">
        <v>24</v>
      </c>
      <c r="AG169" s="806" t="s">
        <v>204</v>
      </c>
      <c r="AH169" s="806" t="s">
        <v>633</v>
      </c>
      <c r="AI169" s="806" t="s">
        <v>1049</v>
      </c>
      <c r="AJ169" s="806" t="s">
        <v>1276</v>
      </c>
      <c r="AK169" s="806" t="s">
        <v>1442</v>
      </c>
      <c r="AL169" s="806" t="s">
        <v>40</v>
      </c>
      <c r="AM169" s="66">
        <v>1</v>
      </c>
      <c r="AN169" s="806" t="str">
        <f>+AB169</f>
        <v>Realizar la rendición de cuentas interna</v>
      </c>
      <c r="AO169" s="812">
        <f t="shared" ref="AO169" si="389">+AC169</f>
        <v>0</v>
      </c>
      <c r="AP169" s="836" t="s">
        <v>48</v>
      </c>
      <c r="AQ169" s="66">
        <v>0</v>
      </c>
      <c r="AR169" s="806" t="str">
        <f t="shared" ref="AR169" si="390">+AN169</f>
        <v>Realizar la rendición de cuentas interna</v>
      </c>
      <c r="AS169" s="810">
        <f>+AO169/4</f>
        <v>0</v>
      </c>
      <c r="AT169" s="466">
        <v>0</v>
      </c>
      <c r="AU169" s="810">
        <v>0</v>
      </c>
      <c r="AV169" s="807" t="e">
        <f t="shared" ref="AV169" si="391">+(AT169/AQ169)</f>
        <v>#DIV/0!</v>
      </c>
      <c r="AW169" s="807" t="e">
        <f t="shared" ref="AW169" si="392">+(AU169/AS169)</f>
        <v>#DIV/0!</v>
      </c>
      <c r="AX169" s="807">
        <f t="shared" ref="AX169" si="393">+(AT169/AM169)</f>
        <v>0</v>
      </c>
      <c r="AY169" s="807" t="e">
        <f t="shared" ref="AY169" si="394">+(AU169/AO169)</f>
        <v>#DIV/0!</v>
      </c>
      <c r="AZ169" s="490" t="s">
        <v>1342</v>
      </c>
      <c r="BA169" s="66">
        <v>0</v>
      </c>
      <c r="BB169" s="806" t="str">
        <f t="shared" ref="BB169" si="395">+AN169</f>
        <v>Realizar la rendición de cuentas interna</v>
      </c>
      <c r="BC169" s="810">
        <f>+AO169/4</f>
        <v>0</v>
      </c>
      <c r="BD169" s="817">
        <v>0</v>
      </c>
      <c r="BE169" s="810">
        <v>0</v>
      </c>
      <c r="BF169" s="807" t="e">
        <f t="shared" ref="BF169" si="396">+(BD169/BA169)</f>
        <v>#DIV/0!</v>
      </c>
      <c r="BG169" s="807" t="e">
        <f t="shared" ref="BG169" si="397">+(BE169/BC169)</f>
        <v>#DIV/0!</v>
      </c>
      <c r="BH169" s="807">
        <f t="shared" ref="BH169" si="398">+(BD169+AT169)/AM169</f>
        <v>0</v>
      </c>
      <c r="BI169" s="807" t="e">
        <f t="shared" ref="BI169" si="399">+(BE169+AU169)/AO169</f>
        <v>#DIV/0!</v>
      </c>
      <c r="BJ169" s="809"/>
      <c r="BK169" s="66">
        <v>1</v>
      </c>
      <c r="BL169" s="806" t="str">
        <f t="shared" ref="BL169" si="400">+AN169</f>
        <v>Realizar la rendición de cuentas interna</v>
      </c>
      <c r="BM169" s="810">
        <f>+AO169/4</f>
        <v>0</v>
      </c>
      <c r="BN169" s="936">
        <v>0</v>
      </c>
      <c r="BO169" s="935">
        <v>0</v>
      </c>
      <c r="BP169" s="807">
        <f t="shared" ref="BP169" si="401">+(BN169/BK169)</f>
        <v>0</v>
      </c>
      <c r="BQ169" s="807" t="e">
        <f t="shared" ref="BQ169" si="402">+(BO169/BM169)</f>
        <v>#DIV/0!</v>
      </c>
      <c r="BR169" s="807">
        <f t="shared" ref="BR169" si="403">+(BD169+AT169+BN169)/AM169</f>
        <v>0</v>
      </c>
      <c r="BS169" s="807" t="e">
        <f t="shared" ref="BS169" si="404">+(BE169+AU169+BO169)/AO169</f>
        <v>#DIV/0!</v>
      </c>
      <c r="BT169" s="937" t="s">
        <v>1858</v>
      </c>
      <c r="BU169" s="66">
        <v>0</v>
      </c>
      <c r="BV169" s="806" t="str">
        <f t="shared" ref="BV169" si="405">+AN169</f>
        <v>Realizar la rendición de cuentas interna</v>
      </c>
      <c r="BW169" s="810">
        <f>+AO169/4</f>
        <v>0</v>
      </c>
      <c r="BX169" s="1151">
        <v>1</v>
      </c>
      <c r="BY169" s="1140">
        <v>0</v>
      </c>
      <c r="BZ169" s="805" t="e">
        <f t="shared" ref="BZ169" si="406">+(BX169/BU169)</f>
        <v>#DIV/0!</v>
      </c>
      <c r="CA169" s="805" t="e">
        <f t="shared" ref="CA169" si="407">+(BY169/BW169)</f>
        <v>#DIV/0!</v>
      </c>
      <c r="CB169" s="805">
        <f t="shared" ref="CB169" si="408">+(BD169+AT169+BN169+BX169)/AM169</f>
        <v>1</v>
      </c>
      <c r="CC169" s="805" t="e">
        <f t="shared" ref="CC169" si="409">+(BE169+AU169+BO169+BY169)/AO169</f>
        <v>#DIV/0!</v>
      </c>
      <c r="CD169" s="1154"/>
      <c r="CE169" s="631" t="s">
        <v>2090</v>
      </c>
      <c r="CF169" s="631" t="str">
        <f t="shared" ref="CF169" si="410">IF(AND(AS169=0,AU169=0),"No Prog ni Ejec",IF(AS169=0,CONCATENATE("No Prog, Ejec=  ",AU169),AU169/AS169))</f>
        <v>No Prog ni Ejec</v>
      </c>
      <c r="CG169" s="631" t="str">
        <f t="shared" ref="CG169" si="411">IF(AND(BA169=0,BD169=0),"No Prog ni Ejec",IF(BA169=0,CONCATENATE("No Prog, Ejec=  ",BD169),BD169/BA169))</f>
        <v>No Prog ni Ejec</v>
      </c>
      <c r="CH169" s="631" t="str">
        <f t="shared" ref="CH169" si="412">IF(AND(BC169=0,BE169=0),"No Prog ni Ejec",IF(BC169=0,CONCATENATE("No Prog, Ejec=  ",BE169),BE169/BC169))</f>
        <v>No Prog ni Ejec</v>
      </c>
      <c r="CI169" s="631">
        <f t="shared" ref="CI169" si="413">IF(AND(BK169=0,BN169=0),"No Prog ni Ejec",IF(BK169=0,CONCATENATE("No Prog, Ejec=  ",BN169),BN169/BK169))</f>
        <v>0</v>
      </c>
      <c r="CJ169" s="631" t="str">
        <f t="shared" ref="CJ169" si="414">IF(AND(BM169=0,BO169=0),"No Prog ni Ejec",IF(BM169=0,CONCATENATE("No Prog, Ejec=  ",BO169),BO169/BM169))</f>
        <v>No Prog ni Ejec</v>
      </c>
      <c r="CK169" s="631" t="str">
        <f t="shared" ref="CK169" si="415">IF(AND(BU169=0,BX169=0),"No Prog ni Ejec",IF(BU169=0,CONCATENATE("No Prog, Ejec=  ",BX169),BX169/BU169))</f>
        <v>No Prog, Ejec=  1</v>
      </c>
      <c r="CL169" s="685" t="str">
        <f t="shared" ref="CL169" si="416">IF(AND(BW169=0,BY169=0),"No Prog ni Ejec",IF(BW169=0,CONCATENATE("No Prog, Ejec=  ",BY169),BY169/BW169))</f>
        <v>No Prog ni Ejec</v>
      </c>
      <c r="CM169" s="127"/>
      <c r="CR169" s="121"/>
      <c r="CS169" s="155"/>
      <c r="CT169" s="155"/>
      <c r="CU169" s="155"/>
      <c r="CV169" s="155"/>
      <c r="CW169" s="155"/>
      <c r="CX169" s="155"/>
      <c r="CY169" s="155"/>
      <c r="CZ169" s="155"/>
      <c r="DA169" s="155"/>
      <c r="DB169" s="155"/>
      <c r="DC169" s="155"/>
    </row>
    <row r="170" spans="1:107" s="77" customFormat="1" ht="105" customHeight="1" x14ac:dyDescent="0.2">
      <c r="A170" s="813">
        <v>11200</v>
      </c>
      <c r="B170" s="806" t="s">
        <v>1</v>
      </c>
      <c r="C170" s="806" t="s">
        <v>660</v>
      </c>
      <c r="D170" s="822" t="s">
        <v>1017</v>
      </c>
      <c r="E170" s="822" t="s">
        <v>1017</v>
      </c>
      <c r="F170" s="822"/>
      <c r="G170" s="822"/>
      <c r="H170" s="822"/>
      <c r="I170" s="822"/>
      <c r="J170" s="822"/>
      <c r="K170" s="822"/>
      <c r="L170" s="822"/>
      <c r="M170" s="822"/>
      <c r="N170" s="822"/>
      <c r="O170" s="822"/>
      <c r="P170" s="822"/>
      <c r="Q170" s="806" t="s">
        <v>1125</v>
      </c>
      <c r="R170" s="806" t="s">
        <v>1137</v>
      </c>
      <c r="S170" s="814" t="s">
        <v>111</v>
      </c>
      <c r="T170" s="806" t="s">
        <v>94</v>
      </c>
      <c r="U170" s="806" t="s">
        <v>204</v>
      </c>
      <c r="V170" s="806" t="s">
        <v>204</v>
      </c>
      <c r="W170" s="814" t="s">
        <v>925</v>
      </c>
      <c r="X170" s="806" t="s">
        <v>915</v>
      </c>
      <c r="Y170" s="817" t="s">
        <v>52</v>
      </c>
      <c r="Z170" s="66">
        <v>4</v>
      </c>
      <c r="AA170" s="814" t="s">
        <v>922</v>
      </c>
      <c r="AB170" s="806" t="s">
        <v>914</v>
      </c>
      <c r="AC170" s="810">
        <v>0</v>
      </c>
      <c r="AD170" s="811">
        <v>1</v>
      </c>
      <c r="AE170" s="806" t="s">
        <v>18</v>
      </c>
      <c r="AF170" s="806" t="s">
        <v>24</v>
      </c>
      <c r="AG170" s="806" t="s">
        <v>204</v>
      </c>
      <c r="AH170" s="806" t="s">
        <v>633</v>
      </c>
      <c r="AI170" s="806" t="s">
        <v>1049</v>
      </c>
      <c r="AJ170" s="806" t="s">
        <v>1266</v>
      </c>
      <c r="AK170" s="806" t="s">
        <v>916</v>
      </c>
      <c r="AL170" s="806" t="s">
        <v>40</v>
      </c>
      <c r="AM170" s="66">
        <v>4</v>
      </c>
      <c r="AN170" s="806" t="str">
        <f>+AB170</f>
        <v>Realizar actividades de relacionamiento y rendición de cuentas con actores del sector salud y partes interesadas</v>
      </c>
      <c r="AO170" s="812">
        <f t="shared" si="339"/>
        <v>0</v>
      </c>
      <c r="AP170" s="836" t="s">
        <v>48</v>
      </c>
      <c r="AQ170" s="66">
        <v>1</v>
      </c>
      <c r="AR170" s="806" t="str">
        <f t="shared" si="340"/>
        <v>Realizar actividades de relacionamiento y rendición de cuentas con actores del sector salud y partes interesadas</v>
      </c>
      <c r="AS170" s="810">
        <f>+AO170/4</f>
        <v>0</v>
      </c>
      <c r="AT170" s="466">
        <v>1</v>
      </c>
      <c r="AU170" s="810">
        <v>0</v>
      </c>
      <c r="AV170" s="807">
        <f t="shared" si="341"/>
        <v>1</v>
      </c>
      <c r="AW170" s="807" t="e">
        <f t="shared" si="342"/>
        <v>#DIV/0!</v>
      </c>
      <c r="AX170" s="807">
        <f t="shared" si="343"/>
        <v>0.25</v>
      </c>
      <c r="AY170" s="807" t="e">
        <f t="shared" si="344"/>
        <v>#DIV/0!</v>
      </c>
      <c r="AZ170" s="490" t="s">
        <v>1345</v>
      </c>
      <c r="BA170" s="66">
        <v>1</v>
      </c>
      <c r="BB170" s="806" t="str">
        <f t="shared" si="345"/>
        <v>Realizar actividades de relacionamiento y rendición de cuentas con actores del sector salud y partes interesadas</v>
      </c>
      <c r="BC170" s="810">
        <f>+AO170/4</f>
        <v>0</v>
      </c>
      <c r="BD170" s="817">
        <v>1</v>
      </c>
      <c r="BE170" s="810">
        <v>0</v>
      </c>
      <c r="BF170" s="807">
        <f t="shared" si="346"/>
        <v>1</v>
      </c>
      <c r="BG170" s="807" t="e">
        <f t="shared" si="347"/>
        <v>#DIV/0!</v>
      </c>
      <c r="BH170" s="807">
        <f t="shared" si="348"/>
        <v>0.5</v>
      </c>
      <c r="BI170" s="807" t="e">
        <f t="shared" si="349"/>
        <v>#DIV/0!</v>
      </c>
      <c r="BJ170" s="809" t="s">
        <v>1651</v>
      </c>
      <c r="BK170" s="66">
        <v>1</v>
      </c>
      <c r="BL170" s="806" t="str">
        <f t="shared" si="350"/>
        <v>Realizar actividades de relacionamiento y rendición de cuentas con actores del sector salud y partes interesadas</v>
      </c>
      <c r="BM170" s="810">
        <f>+AO170/4</f>
        <v>0</v>
      </c>
      <c r="BN170" s="936">
        <v>1</v>
      </c>
      <c r="BO170" s="935">
        <v>0</v>
      </c>
      <c r="BP170" s="807">
        <f t="shared" si="351"/>
        <v>1</v>
      </c>
      <c r="BQ170" s="807" t="e">
        <f t="shared" si="352"/>
        <v>#DIV/0!</v>
      </c>
      <c r="BR170" s="807">
        <f t="shared" si="353"/>
        <v>0.75</v>
      </c>
      <c r="BS170" s="807" t="e">
        <f t="shared" si="354"/>
        <v>#DIV/0!</v>
      </c>
      <c r="BT170" s="937" t="s">
        <v>1859</v>
      </c>
      <c r="BU170" s="66">
        <v>1</v>
      </c>
      <c r="BV170" s="806" t="str">
        <f t="shared" si="355"/>
        <v>Realizar actividades de relacionamiento y rendición de cuentas con actores del sector salud y partes interesadas</v>
      </c>
      <c r="BW170" s="810">
        <f>+AO170/4</f>
        <v>0</v>
      </c>
      <c r="BX170" s="1141">
        <v>1</v>
      </c>
      <c r="BY170" s="1140">
        <v>0</v>
      </c>
      <c r="BZ170" s="805">
        <f t="shared" si="356"/>
        <v>1</v>
      </c>
      <c r="CA170" s="805" t="e">
        <f t="shared" si="357"/>
        <v>#DIV/0!</v>
      </c>
      <c r="CB170" s="805">
        <f t="shared" si="358"/>
        <v>1</v>
      </c>
      <c r="CC170" s="805" t="e">
        <f t="shared" si="359"/>
        <v>#DIV/0!</v>
      </c>
      <c r="CD170" s="1146" t="s">
        <v>2086</v>
      </c>
      <c r="CE170" s="631">
        <f t="shared" si="331"/>
        <v>1</v>
      </c>
      <c r="CF170" s="631" t="str">
        <f t="shared" si="332"/>
        <v>No Prog ni Ejec</v>
      </c>
      <c r="CG170" s="631">
        <f t="shared" si="333"/>
        <v>1</v>
      </c>
      <c r="CH170" s="631" t="str">
        <f t="shared" si="334"/>
        <v>No Prog ni Ejec</v>
      </c>
      <c r="CI170" s="631">
        <f t="shared" si="335"/>
        <v>1</v>
      </c>
      <c r="CJ170" s="631" t="str">
        <f t="shared" si="336"/>
        <v>No Prog ni Ejec</v>
      </c>
      <c r="CK170" s="631">
        <f t="shared" si="337"/>
        <v>1</v>
      </c>
      <c r="CL170" s="685" t="str">
        <f t="shared" si="338"/>
        <v>No Prog ni Ejec</v>
      </c>
      <c r="CM170" s="127">
        <f t="shared" si="272"/>
        <v>0</v>
      </c>
      <c r="CR170" s="121">
        <v>1</v>
      </c>
      <c r="CX170" s="155">
        <v>7</v>
      </c>
    </row>
    <row r="171" spans="1:107" s="77" customFormat="1" ht="102.75" customHeight="1" x14ac:dyDescent="0.2">
      <c r="A171" s="684">
        <v>11700</v>
      </c>
      <c r="B171" s="627" t="s">
        <v>14</v>
      </c>
      <c r="C171" s="627" t="s">
        <v>1027</v>
      </c>
      <c r="D171" s="123"/>
      <c r="E171" s="123"/>
      <c r="F171" s="123"/>
      <c r="G171" s="123"/>
      <c r="H171" s="123"/>
      <c r="I171" s="123"/>
      <c r="J171" s="123"/>
      <c r="K171" s="123" t="s">
        <v>1017</v>
      </c>
      <c r="L171" s="123" t="s">
        <v>1017</v>
      </c>
      <c r="M171" s="123"/>
      <c r="N171" s="123"/>
      <c r="O171" s="123"/>
      <c r="P171" s="123"/>
      <c r="Q171" s="806" t="s">
        <v>204</v>
      </c>
      <c r="R171" s="627" t="s">
        <v>204</v>
      </c>
      <c r="S171" s="629" t="s">
        <v>238</v>
      </c>
      <c r="T171" s="627" t="s">
        <v>94</v>
      </c>
      <c r="U171" s="627" t="s">
        <v>204</v>
      </c>
      <c r="V171" s="627" t="s">
        <v>204</v>
      </c>
      <c r="W171" s="629" t="s">
        <v>872</v>
      </c>
      <c r="X171" s="645" t="s">
        <v>1024</v>
      </c>
      <c r="Y171" s="641" t="s">
        <v>390</v>
      </c>
      <c r="Z171" s="66">
        <v>11</v>
      </c>
      <c r="AA171" s="814" t="s">
        <v>863</v>
      </c>
      <c r="AB171" s="806" t="s">
        <v>1018</v>
      </c>
      <c r="AC171" s="810">
        <v>0</v>
      </c>
      <c r="AD171" s="811">
        <v>1</v>
      </c>
      <c r="AE171" s="806" t="s">
        <v>16</v>
      </c>
      <c r="AF171" s="806" t="s">
        <v>21</v>
      </c>
      <c r="AG171" s="806" t="s">
        <v>204</v>
      </c>
      <c r="AH171" s="806" t="s">
        <v>633</v>
      </c>
      <c r="AI171" s="806" t="s">
        <v>77</v>
      </c>
      <c r="AJ171" s="806" t="s">
        <v>204</v>
      </c>
      <c r="AK171" s="806" t="s">
        <v>1021</v>
      </c>
      <c r="AL171" s="627" t="s">
        <v>43</v>
      </c>
      <c r="AM171" s="66">
        <v>11</v>
      </c>
      <c r="AN171" s="806" t="str">
        <f t="shared" ref="AN171:AN178" si="417">+AB171</f>
        <v>Enviar solicitud escrita mensualmente a cada Director, Subdirector y Jefe de Oficina, desde Talento Humano, con el fin de que indiquen los cargos vacantes a proveer</v>
      </c>
      <c r="AO171" s="812">
        <f t="shared" si="339"/>
        <v>0</v>
      </c>
      <c r="AP171" s="836" t="s">
        <v>48</v>
      </c>
      <c r="AQ171" s="67">
        <v>2</v>
      </c>
      <c r="AR171" s="806" t="str">
        <f t="shared" si="340"/>
        <v>Enviar solicitud escrita mensualmente a cada Director, Subdirector y Jefe de Oficina, desde Talento Humano, con el fin de que indiquen los cargos vacantes a proveer</v>
      </c>
      <c r="AS171" s="810">
        <f t="shared" ref="AS171:AS178" si="418">+AO171/4</f>
        <v>0</v>
      </c>
      <c r="AT171" s="466">
        <v>0</v>
      </c>
      <c r="AU171" s="840">
        <v>0</v>
      </c>
      <c r="AV171" s="807">
        <f t="shared" si="341"/>
        <v>0</v>
      </c>
      <c r="AW171" s="807" t="e">
        <f t="shared" si="342"/>
        <v>#DIV/0!</v>
      </c>
      <c r="AX171" s="807">
        <f t="shared" si="343"/>
        <v>0</v>
      </c>
      <c r="AY171" s="807" t="e">
        <f t="shared" si="344"/>
        <v>#DIV/0!</v>
      </c>
      <c r="AZ171" s="465" t="s">
        <v>1341</v>
      </c>
      <c r="BA171" s="67">
        <v>3</v>
      </c>
      <c r="BB171" s="806" t="str">
        <f t="shared" si="345"/>
        <v>Enviar solicitud escrita mensualmente a cada Director, Subdirector y Jefe de Oficina, desde Talento Humano, con el fin de que indiquen los cargos vacantes a proveer</v>
      </c>
      <c r="BC171" s="810">
        <f t="shared" ref="BC171:BC178" si="419">+AO171/4</f>
        <v>0</v>
      </c>
      <c r="BD171" s="817">
        <v>1</v>
      </c>
      <c r="BE171" s="810">
        <v>0</v>
      </c>
      <c r="BF171" s="807">
        <f t="shared" si="346"/>
        <v>0.33333333333333331</v>
      </c>
      <c r="BG171" s="807" t="e">
        <f t="shared" si="347"/>
        <v>#DIV/0!</v>
      </c>
      <c r="BH171" s="807">
        <f t="shared" si="348"/>
        <v>9.0909090909090912E-2</v>
      </c>
      <c r="BI171" s="807" t="e">
        <f t="shared" si="349"/>
        <v>#DIV/0!</v>
      </c>
      <c r="BJ171" s="808" t="s">
        <v>1646</v>
      </c>
      <c r="BK171" s="67">
        <v>3</v>
      </c>
      <c r="BL171" s="806" t="str">
        <f>+AN171</f>
        <v>Enviar solicitud escrita mensualmente a cada Director, Subdirector y Jefe de Oficina, desde Talento Humano, con el fin de que indiquen los cargos vacantes a proveer</v>
      </c>
      <c r="BM171" s="810">
        <f t="shared" ref="BM171:BM178" si="420">+AO171/4</f>
        <v>0</v>
      </c>
      <c r="BN171" s="949">
        <v>1</v>
      </c>
      <c r="BO171" s="946">
        <v>0</v>
      </c>
      <c r="BP171" s="807">
        <f t="shared" si="351"/>
        <v>0.33333333333333331</v>
      </c>
      <c r="BQ171" s="807" t="e">
        <f t="shared" si="352"/>
        <v>#DIV/0!</v>
      </c>
      <c r="BR171" s="807">
        <f t="shared" si="353"/>
        <v>0.18181818181818182</v>
      </c>
      <c r="BS171" s="807" t="e">
        <f t="shared" si="354"/>
        <v>#DIV/0!</v>
      </c>
      <c r="BT171" s="948" t="s">
        <v>1918</v>
      </c>
      <c r="BU171" s="67">
        <v>3</v>
      </c>
      <c r="BV171" s="806" t="str">
        <f t="shared" si="355"/>
        <v>Enviar solicitud escrita mensualmente a cada Director, Subdirector y Jefe de Oficina, desde Talento Humano, con el fin de que indiquen los cargos vacantes a proveer</v>
      </c>
      <c r="BW171" s="810">
        <f t="shared" ref="BW171:BW178" si="421">+AO171/4</f>
        <v>0</v>
      </c>
      <c r="BX171" s="1132">
        <v>0</v>
      </c>
      <c r="BY171" s="1130">
        <v>0</v>
      </c>
      <c r="BZ171" s="805">
        <f t="shared" si="356"/>
        <v>0</v>
      </c>
      <c r="CA171" s="805" t="e">
        <f t="shared" si="357"/>
        <v>#DIV/0!</v>
      </c>
      <c r="CB171" s="805">
        <f t="shared" si="358"/>
        <v>0.18181818181818182</v>
      </c>
      <c r="CC171" s="805" t="e">
        <f t="shared" si="359"/>
        <v>#DIV/0!</v>
      </c>
      <c r="CD171" s="682" t="s">
        <v>2075</v>
      </c>
      <c r="CE171" s="631">
        <f t="shared" si="331"/>
        <v>0</v>
      </c>
      <c r="CF171" s="631" t="str">
        <f t="shared" si="332"/>
        <v>No Prog ni Ejec</v>
      </c>
      <c r="CG171" s="631">
        <f t="shared" si="333"/>
        <v>0.33333333333333331</v>
      </c>
      <c r="CH171" s="631" t="str">
        <f t="shared" si="334"/>
        <v>No Prog ni Ejec</v>
      </c>
      <c r="CI171" s="631">
        <f t="shared" si="335"/>
        <v>0.33333333333333331</v>
      </c>
      <c r="CJ171" s="631" t="str">
        <f t="shared" si="336"/>
        <v>No Prog ni Ejec</v>
      </c>
      <c r="CK171" s="631">
        <f t="shared" si="337"/>
        <v>0</v>
      </c>
      <c r="CL171" s="685" t="str">
        <f t="shared" si="338"/>
        <v>No Prog ni Ejec</v>
      </c>
      <c r="CM171" s="127">
        <f t="shared" si="272"/>
        <v>0</v>
      </c>
    </row>
    <row r="172" spans="1:107" s="77" customFormat="1" ht="102" customHeight="1" x14ac:dyDescent="0.2">
      <c r="A172" s="684">
        <v>11700</v>
      </c>
      <c r="B172" s="627" t="s">
        <v>14</v>
      </c>
      <c r="C172" s="627" t="s">
        <v>1027</v>
      </c>
      <c r="D172" s="123"/>
      <c r="E172" s="123"/>
      <c r="F172" s="123"/>
      <c r="G172" s="123"/>
      <c r="H172" s="123"/>
      <c r="I172" s="123"/>
      <c r="J172" s="123"/>
      <c r="K172" s="123" t="s">
        <v>1017</v>
      </c>
      <c r="L172" s="123" t="s">
        <v>1017</v>
      </c>
      <c r="M172" s="123"/>
      <c r="N172" s="123"/>
      <c r="O172" s="123"/>
      <c r="P172" s="123"/>
      <c r="Q172" s="806" t="s">
        <v>204</v>
      </c>
      <c r="R172" s="627" t="s">
        <v>204</v>
      </c>
      <c r="S172" s="629" t="s">
        <v>238</v>
      </c>
      <c r="T172" s="627" t="s">
        <v>94</v>
      </c>
      <c r="U172" s="627" t="s">
        <v>204</v>
      </c>
      <c r="V172" s="627" t="s">
        <v>204</v>
      </c>
      <c r="W172" s="629" t="s">
        <v>873</v>
      </c>
      <c r="X172" s="645" t="s">
        <v>1025</v>
      </c>
      <c r="Y172" s="641" t="s">
        <v>51</v>
      </c>
      <c r="Z172" s="811">
        <v>1</v>
      </c>
      <c r="AA172" s="814" t="s">
        <v>864</v>
      </c>
      <c r="AB172" s="806" t="s">
        <v>1019</v>
      </c>
      <c r="AC172" s="810">
        <v>0</v>
      </c>
      <c r="AD172" s="811">
        <v>1</v>
      </c>
      <c r="AE172" s="806" t="s">
        <v>16</v>
      </c>
      <c r="AF172" s="806" t="s">
        <v>21</v>
      </c>
      <c r="AG172" s="806" t="s">
        <v>204</v>
      </c>
      <c r="AH172" s="806" t="s">
        <v>633</v>
      </c>
      <c r="AI172" s="806" t="s">
        <v>77</v>
      </c>
      <c r="AJ172" s="806" t="s">
        <v>1290</v>
      </c>
      <c r="AK172" s="806" t="s">
        <v>1022</v>
      </c>
      <c r="AL172" s="627" t="s">
        <v>43</v>
      </c>
      <c r="AM172" s="811">
        <v>1</v>
      </c>
      <c r="AN172" s="806" t="str">
        <f t="shared" si="417"/>
        <v>Realizar nombramientos de acuerdo con los requerimientos de cada dependencia donde haya vacantes</v>
      </c>
      <c r="AO172" s="812">
        <f t="shared" si="339"/>
        <v>0</v>
      </c>
      <c r="AP172" s="836" t="s">
        <v>48</v>
      </c>
      <c r="AQ172" s="811">
        <v>0.25</v>
      </c>
      <c r="AR172" s="806" t="str">
        <f t="shared" si="340"/>
        <v>Realizar nombramientos de acuerdo con los requerimientos de cada dependencia donde haya vacantes</v>
      </c>
      <c r="AS172" s="810">
        <f t="shared" si="418"/>
        <v>0</v>
      </c>
      <c r="AT172" s="470">
        <f>(8/8)*0.25</f>
        <v>0.25</v>
      </c>
      <c r="AU172" s="840">
        <v>0</v>
      </c>
      <c r="AV172" s="807">
        <f t="shared" si="341"/>
        <v>1</v>
      </c>
      <c r="AW172" s="807" t="e">
        <f t="shared" si="342"/>
        <v>#DIV/0!</v>
      </c>
      <c r="AX172" s="807">
        <f t="shared" si="343"/>
        <v>0.25</v>
      </c>
      <c r="AY172" s="807" t="e">
        <f t="shared" si="344"/>
        <v>#DIV/0!</v>
      </c>
      <c r="AZ172" s="465" t="s">
        <v>1599</v>
      </c>
      <c r="BA172" s="811">
        <v>0.25</v>
      </c>
      <c r="BB172" s="806" t="str">
        <f t="shared" si="345"/>
        <v>Realizar nombramientos de acuerdo con los requerimientos de cada dependencia donde haya vacantes</v>
      </c>
      <c r="BC172" s="810">
        <f t="shared" si="419"/>
        <v>0</v>
      </c>
      <c r="BD172" s="824">
        <f>(11/11)*0.25</f>
        <v>0.25</v>
      </c>
      <c r="BE172" s="810">
        <v>0</v>
      </c>
      <c r="BF172" s="807">
        <f t="shared" si="346"/>
        <v>1</v>
      </c>
      <c r="BG172" s="807" t="e">
        <f t="shared" si="347"/>
        <v>#DIV/0!</v>
      </c>
      <c r="BH172" s="807">
        <f t="shared" si="348"/>
        <v>0.5</v>
      </c>
      <c r="BI172" s="807" t="e">
        <f t="shared" si="349"/>
        <v>#DIV/0!</v>
      </c>
      <c r="BJ172" s="808" t="s">
        <v>1647</v>
      </c>
      <c r="BK172" s="811">
        <v>0.25</v>
      </c>
      <c r="BL172" s="806" t="str">
        <f t="shared" si="350"/>
        <v>Realizar nombramientos de acuerdo con los requerimientos de cada dependencia donde haya vacantes</v>
      </c>
      <c r="BM172" s="810">
        <f t="shared" si="420"/>
        <v>0</v>
      </c>
      <c r="BN172" s="954">
        <f>(15/15)*0.25</f>
        <v>0.25</v>
      </c>
      <c r="BO172" s="946">
        <v>0</v>
      </c>
      <c r="BP172" s="807">
        <f t="shared" si="351"/>
        <v>1</v>
      </c>
      <c r="BQ172" s="807" t="e">
        <f t="shared" si="352"/>
        <v>#DIV/0!</v>
      </c>
      <c r="BR172" s="807">
        <f t="shared" si="353"/>
        <v>0.75</v>
      </c>
      <c r="BS172" s="807" t="e">
        <f t="shared" si="354"/>
        <v>#DIV/0!</v>
      </c>
      <c r="BT172" s="948" t="s">
        <v>1919</v>
      </c>
      <c r="BU172" s="811">
        <v>0.25</v>
      </c>
      <c r="BV172" s="806" t="str">
        <f t="shared" si="355"/>
        <v>Realizar nombramientos de acuerdo con los requerimientos de cada dependencia donde haya vacantes</v>
      </c>
      <c r="BW172" s="810">
        <f t="shared" si="421"/>
        <v>0</v>
      </c>
      <c r="BX172" s="1131">
        <f>(12/12)*0.25</f>
        <v>0.25</v>
      </c>
      <c r="BY172" s="1130">
        <v>0</v>
      </c>
      <c r="BZ172" s="805">
        <f t="shared" si="356"/>
        <v>1</v>
      </c>
      <c r="CA172" s="805" t="e">
        <f t="shared" si="357"/>
        <v>#DIV/0!</v>
      </c>
      <c r="CB172" s="805">
        <f t="shared" si="358"/>
        <v>1</v>
      </c>
      <c r="CC172" s="805" t="e">
        <f t="shared" si="359"/>
        <v>#DIV/0!</v>
      </c>
      <c r="CD172" s="682" t="s">
        <v>2076</v>
      </c>
      <c r="CE172" s="631">
        <f t="shared" si="331"/>
        <v>1</v>
      </c>
      <c r="CF172" s="631" t="str">
        <f t="shared" si="332"/>
        <v>No Prog ni Ejec</v>
      </c>
      <c r="CG172" s="631">
        <f t="shared" si="333"/>
        <v>1</v>
      </c>
      <c r="CH172" s="631" t="str">
        <f t="shared" si="334"/>
        <v>No Prog ni Ejec</v>
      </c>
      <c r="CI172" s="631">
        <f t="shared" si="335"/>
        <v>1</v>
      </c>
      <c r="CJ172" s="631" t="str">
        <f t="shared" si="336"/>
        <v>No Prog ni Ejec</v>
      </c>
      <c r="CK172" s="631">
        <f t="shared" si="337"/>
        <v>1</v>
      </c>
      <c r="CL172" s="685" t="str">
        <f t="shared" si="338"/>
        <v>No Prog ni Ejec</v>
      </c>
      <c r="CM172" s="127">
        <f t="shared" si="272"/>
        <v>0</v>
      </c>
    </row>
    <row r="173" spans="1:107" s="77" customFormat="1" ht="99" customHeight="1" x14ac:dyDescent="0.2">
      <c r="A173" s="684">
        <v>11700</v>
      </c>
      <c r="B173" s="627" t="s">
        <v>14</v>
      </c>
      <c r="C173" s="627" t="s">
        <v>1027</v>
      </c>
      <c r="D173" s="123"/>
      <c r="E173" s="123"/>
      <c r="F173" s="123"/>
      <c r="G173" s="123"/>
      <c r="H173" s="123"/>
      <c r="I173" s="123"/>
      <c r="J173" s="123"/>
      <c r="K173" s="123" t="s">
        <v>1017</v>
      </c>
      <c r="L173" s="123" t="s">
        <v>1017</v>
      </c>
      <c r="M173" s="123"/>
      <c r="N173" s="123"/>
      <c r="O173" s="123"/>
      <c r="P173" s="123"/>
      <c r="Q173" s="806" t="s">
        <v>204</v>
      </c>
      <c r="R173" s="627" t="s">
        <v>204</v>
      </c>
      <c r="S173" s="629" t="s">
        <v>238</v>
      </c>
      <c r="T173" s="627" t="s">
        <v>94</v>
      </c>
      <c r="U173" s="627" t="s">
        <v>204</v>
      </c>
      <c r="V173" s="627" t="s">
        <v>204</v>
      </c>
      <c r="W173" s="629" t="s">
        <v>874</v>
      </c>
      <c r="X173" s="645" t="s">
        <v>1026</v>
      </c>
      <c r="Y173" s="641" t="s">
        <v>51</v>
      </c>
      <c r="Z173" s="811">
        <v>1</v>
      </c>
      <c r="AA173" s="814" t="s">
        <v>865</v>
      </c>
      <c r="AB173" s="806" t="s">
        <v>1020</v>
      </c>
      <c r="AC173" s="810">
        <v>0</v>
      </c>
      <c r="AD173" s="811">
        <v>1</v>
      </c>
      <c r="AE173" s="806" t="s">
        <v>16</v>
      </c>
      <c r="AF173" s="806" t="s">
        <v>21</v>
      </c>
      <c r="AG173" s="806" t="s">
        <v>204</v>
      </c>
      <c r="AH173" s="806" t="s">
        <v>633</v>
      </c>
      <c r="AI173" s="806" t="s">
        <v>77</v>
      </c>
      <c r="AJ173" s="806" t="s">
        <v>1290</v>
      </c>
      <c r="AK173" s="806" t="s">
        <v>1023</v>
      </c>
      <c r="AL173" s="627" t="s">
        <v>43</v>
      </c>
      <c r="AM173" s="811">
        <v>1</v>
      </c>
      <c r="AN173" s="806" t="str">
        <f t="shared" si="417"/>
        <v>Realizar posesiones de acuerdo con los nombramientos realizados</v>
      </c>
      <c r="AO173" s="812">
        <f t="shared" si="339"/>
        <v>0</v>
      </c>
      <c r="AP173" s="836" t="s">
        <v>48</v>
      </c>
      <c r="AQ173" s="811">
        <v>0.25</v>
      </c>
      <c r="AR173" s="806" t="str">
        <f t="shared" si="340"/>
        <v>Realizar posesiones de acuerdo con los nombramientos realizados</v>
      </c>
      <c r="AS173" s="810">
        <f t="shared" si="418"/>
        <v>0</v>
      </c>
      <c r="AT173" s="470">
        <f>(7/7)*0.25</f>
        <v>0.25</v>
      </c>
      <c r="AU173" s="840">
        <v>0</v>
      </c>
      <c r="AV173" s="807">
        <f t="shared" si="341"/>
        <v>1</v>
      </c>
      <c r="AW173" s="807" t="e">
        <f t="shared" si="342"/>
        <v>#DIV/0!</v>
      </c>
      <c r="AX173" s="807">
        <f t="shared" si="343"/>
        <v>0.25</v>
      </c>
      <c r="AY173" s="807" t="e">
        <f t="shared" si="344"/>
        <v>#DIV/0!</v>
      </c>
      <c r="AZ173" s="465" t="s">
        <v>1600</v>
      </c>
      <c r="BA173" s="811">
        <v>0.25</v>
      </c>
      <c r="BB173" s="806" t="str">
        <f t="shared" si="345"/>
        <v>Realizar posesiones de acuerdo con los nombramientos realizados</v>
      </c>
      <c r="BC173" s="810">
        <f t="shared" si="419"/>
        <v>0</v>
      </c>
      <c r="BD173" s="824">
        <f>(11/11)*0.25</f>
        <v>0.25</v>
      </c>
      <c r="BE173" s="810">
        <v>0</v>
      </c>
      <c r="BF173" s="807">
        <f t="shared" si="346"/>
        <v>1</v>
      </c>
      <c r="BG173" s="807" t="e">
        <f t="shared" si="347"/>
        <v>#DIV/0!</v>
      </c>
      <c r="BH173" s="807">
        <f t="shared" si="348"/>
        <v>0.5</v>
      </c>
      <c r="BI173" s="807" t="e">
        <f t="shared" si="349"/>
        <v>#DIV/0!</v>
      </c>
      <c r="BJ173" s="808" t="s">
        <v>1648</v>
      </c>
      <c r="BK173" s="811">
        <v>0.25</v>
      </c>
      <c r="BL173" s="806" t="str">
        <f t="shared" si="350"/>
        <v>Realizar posesiones de acuerdo con los nombramientos realizados</v>
      </c>
      <c r="BM173" s="810">
        <f t="shared" si="420"/>
        <v>0</v>
      </c>
      <c r="BN173" s="954">
        <f>(15/15)*0.25</f>
        <v>0.25</v>
      </c>
      <c r="BO173" s="946">
        <v>0</v>
      </c>
      <c r="BP173" s="807">
        <f t="shared" si="351"/>
        <v>1</v>
      </c>
      <c r="BQ173" s="807" t="e">
        <f t="shared" si="352"/>
        <v>#DIV/0!</v>
      </c>
      <c r="BR173" s="807">
        <f t="shared" si="353"/>
        <v>0.75</v>
      </c>
      <c r="BS173" s="807" t="e">
        <f t="shared" si="354"/>
        <v>#DIV/0!</v>
      </c>
      <c r="BT173" s="948" t="s">
        <v>1920</v>
      </c>
      <c r="BU173" s="811">
        <v>0.25</v>
      </c>
      <c r="BV173" s="806" t="str">
        <f t="shared" si="355"/>
        <v>Realizar posesiones de acuerdo con los nombramientos realizados</v>
      </c>
      <c r="BW173" s="810">
        <f t="shared" si="421"/>
        <v>0</v>
      </c>
      <c r="BX173" s="1131">
        <f>(12/12)*0.25</f>
        <v>0.25</v>
      </c>
      <c r="BY173" s="1130">
        <v>0</v>
      </c>
      <c r="BZ173" s="805">
        <f t="shared" si="356"/>
        <v>1</v>
      </c>
      <c r="CA173" s="805" t="e">
        <f t="shared" si="357"/>
        <v>#DIV/0!</v>
      </c>
      <c r="CB173" s="805">
        <f t="shared" si="358"/>
        <v>1</v>
      </c>
      <c r="CC173" s="805" t="e">
        <f t="shared" si="359"/>
        <v>#DIV/0!</v>
      </c>
      <c r="CD173" s="682" t="s">
        <v>2077</v>
      </c>
      <c r="CE173" s="631">
        <f t="shared" si="331"/>
        <v>1</v>
      </c>
      <c r="CF173" s="631" t="str">
        <f t="shared" si="332"/>
        <v>No Prog ni Ejec</v>
      </c>
      <c r="CG173" s="631">
        <f t="shared" si="333"/>
        <v>1</v>
      </c>
      <c r="CH173" s="631" t="str">
        <f t="shared" si="334"/>
        <v>No Prog ni Ejec</v>
      </c>
      <c r="CI173" s="631">
        <f t="shared" si="335"/>
        <v>1</v>
      </c>
      <c r="CJ173" s="631" t="str">
        <f t="shared" si="336"/>
        <v>No Prog ni Ejec</v>
      </c>
      <c r="CK173" s="631">
        <f t="shared" si="337"/>
        <v>1</v>
      </c>
      <c r="CL173" s="685" t="str">
        <f t="shared" si="338"/>
        <v>No Prog ni Ejec</v>
      </c>
      <c r="CM173" s="127">
        <f t="shared" si="272"/>
        <v>0</v>
      </c>
    </row>
    <row r="174" spans="1:107" s="77" customFormat="1" ht="102" customHeight="1" x14ac:dyDescent="0.2">
      <c r="A174" s="684">
        <v>11700</v>
      </c>
      <c r="B174" s="627" t="s">
        <v>14</v>
      </c>
      <c r="C174" s="627" t="s">
        <v>1028</v>
      </c>
      <c r="D174" s="123"/>
      <c r="E174" s="123"/>
      <c r="F174" s="123" t="s">
        <v>1017</v>
      </c>
      <c r="G174" s="123"/>
      <c r="H174" s="123"/>
      <c r="I174" s="123"/>
      <c r="J174" s="123"/>
      <c r="K174" s="123"/>
      <c r="L174" s="123"/>
      <c r="M174" s="123"/>
      <c r="N174" s="123"/>
      <c r="O174" s="123"/>
      <c r="P174" s="123"/>
      <c r="Q174" s="806" t="s">
        <v>204</v>
      </c>
      <c r="R174" s="627" t="s">
        <v>204</v>
      </c>
      <c r="S174" s="629" t="s">
        <v>238</v>
      </c>
      <c r="T174" s="627" t="s">
        <v>94</v>
      </c>
      <c r="U174" s="627" t="s">
        <v>204</v>
      </c>
      <c r="V174" s="627" t="s">
        <v>204</v>
      </c>
      <c r="W174" s="629" t="s">
        <v>875</v>
      </c>
      <c r="X174" s="645" t="s">
        <v>1029</v>
      </c>
      <c r="Y174" s="641" t="s">
        <v>51</v>
      </c>
      <c r="Z174" s="811">
        <v>0.25</v>
      </c>
      <c r="AA174" s="814" t="s">
        <v>866</v>
      </c>
      <c r="AB174" s="806" t="s">
        <v>1030</v>
      </c>
      <c r="AC174" s="810">
        <v>3205900828.9250002</v>
      </c>
      <c r="AD174" s="811">
        <v>1</v>
      </c>
      <c r="AE174" s="806" t="s">
        <v>17</v>
      </c>
      <c r="AF174" s="806" t="s">
        <v>288</v>
      </c>
      <c r="AG174" s="806" t="s">
        <v>204</v>
      </c>
      <c r="AH174" s="806" t="s">
        <v>633</v>
      </c>
      <c r="AI174" s="806" t="s">
        <v>76</v>
      </c>
      <c r="AJ174" s="806" t="s">
        <v>1291</v>
      </c>
      <c r="AK174" s="806" t="s">
        <v>1031</v>
      </c>
      <c r="AL174" s="627" t="s">
        <v>204</v>
      </c>
      <c r="AM174" s="811">
        <f>+Z174</f>
        <v>0.25</v>
      </c>
      <c r="AN174" s="806" t="str">
        <f t="shared" si="417"/>
        <v>Realizar el seguimiento a la ejecución del Plan de Adquisiciones</v>
      </c>
      <c r="AO174" s="812">
        <f t="shared" si="339"/>
        <v>3205900828.9250002</v>
      </c>
      <c r="AP174" s="836" t="s">
        <v>46</v>
      </c>
      <c r="AQ174" s="811">
        <v>0.25</v>
      </c>
      <c r="AR174" s="806" t="str">
        <f t="shared" si="340"/>
        <v>Realizar el seguimiento a la ejecución del Plan de Adquisiciones</v>
      </c>
      <c r="AS174" s="810">
        <v>3205900828.9250002</v>
      </c>
      <c r="AT174" s="470">
        <f>(94/158)*25%</f>
        <v>0.14873417721518986</v>
      </c>
      <c r="AU174" s="840">
        <v>4187490186</v>
      </c>
      <c r="AV174" s="807">
        <f t="shared" si="341"/>
        <v>0.59493670886075944</v>
      </c>
      <c r="AW174" s="807">
        <f t="shared" si="342"/>
        <v>1.3061820715783481</v>
      </c>
      <c r="AX174" s="807">
        <f t="shared" si="343"/>
        <v>0.59493670886075944</v>
      </c>
      <c r="AY174" s="807">
        <f t="shared" si="344"/>
        <v>1.3061820715783481</v>
      </c>
      <c r="AZ174" s="465" t="s">
        <v>1601</v>
      </c>
      <c r="BA174" s="811">
        <v>0</v>
      </c>
      <c r="BB174" s="806" t="str">
        <f t="shared" si="345"/>
        <v>Realizar el seguimiento a la ejecución del Plan de Adquisiciones</v>
      </c>
      <c r="BC174" s="810">
        <v>0</v>
      </c>
      <c r="BD174" s="488">
        <v>0</v>
      </c>
      <c r="BE174" s="810">
        <v>0</v>
      </c>
      <c r="BF174" s="807" t="e">
        <f>+(BD174/BA174)</f>
        <v>#DIV/0!</v>
      </c>
      <c r="BG174" s="807" t="e">
        <f t="shared" si="347"/>
        <v>#DIV/0!</v>
      </c>
      <c r="BH174" s="807">
        <f>+(BD174+AT174)/AM174</f>
        <v>0.59493670886075944</v>
      </c>
      <c r="BI174" s="807">
        <f t="shared" si="349"/>
        <v>1.3061820715783481</v>
      </c>
      <c r="BJ174" s="808"/>
      <c r="BK174" s="811">
        <v>0</v>
      </c>
      <c r="BL174" s="806" t="str">
        <f t="shared" si="350"/>
        <v>Realizar el seguimiento a la ejecución del Plan de Adquisiciones</v>
      </c>
      <c r="BM174" s="810">
        <v>0</v>
      </c>
      <c r="BN174" s="488">
        <v>0</v>
      </c>
      <c r="BO174" s="946">
        <v>0</v>
      </c>
      <c r="BP174" s="807" t="e">
        <f t="shared" si="351"/>
        <v>#DIV/0!</v>
      </c>
      <c r="BQ174" s="807" t="e">
        <f t="shared" si="352"/>
        <v>#DIV/0!</v>
      </c>
      <c r="BR174" s="807">
        <f t="shared" si="353"/>
        <v>0.59493670886075944</v>
      </c>
      <c r="BS174" s="807">
        <f t="shared" si="354"/>
        <v>1.3061820715783481</v>
      </c>
      <c r="BT174" s="459" t="s">
        <v>1921</v>
      </c>
      <c r="BU174" s="811">
        <v>0</v>
      </c>
      <c r="BV174" s="806" t="str">
        <f t="shared" si="355"/>
        <v>Realizar el seguimiento a la ejecución del Plan de Adquisiciones</v>
      </c>
      <c r="BW174" s="810">
        <v>0</v>
      </c>
      <c r="BX174" s="1131">
        <v>0</v>
      </c>
      <c r="BY174" s="1130">
        <v>0</v>
      </c>
      <c r="BZ174" s="805" t="e">
        <f t="shared" si="356"/>
        <v>#DIV/0!</v>
      </c>
      <c r="CA174" s="805" t="e">
        <f t="shared" si="357"/>
        <v>#DIV/0!</v>
      </c>
      <c r="CB174" s="805">
        <f t="shared" si="358"/>
        <v>0.59493670886075944</v>
      </c>
      <c r="CC174" s="805">
        <f t="shared" si="359"/>
        <v>1.3061820715783481</v>
      </c>
      <c r="CD174" s="682"/>
      <c r="CE174" s="631">
        <f t="shared" si="331"/>
        <v>0.59493670886075944</v>
      </c>
      <c r="CF174" s="631">
        <f t="shared" si="332"/>
        <v>1.3061820715783481</v>
      </c>
      <c r="CG174" s="631" t="str">
        <f t="shared" si="333"/>
        <v>No Prog ni Ejec</v>
      </c>
      <c r="CH174" s="631" t="str">
        <f t="shared" si="334"/>
        <v>No Prog ni Ejec</v>
      </c>
      <c r="CI174" s="631" t="str">
        <f t="shared" si="335"/>
        <v>No Prog ni Ejec</v>
      </c>
      <c r="CJ174" s="631" t="str">
        <f t="shared" si="336"/>
        <v>No Prog ni Ejec</v>
      </c>
      <c r="CK174" s="631" t="str">
        <f t="shared" si="337"/>
        <v>No Prog ni Ejec</v>
      </c>
      <c r="CL174" s="685" t="str">
        <f t="shared" si="338"/>
        <v>No Prog ni Ejec</v>
      </c>
      <c r="CM174" s="127">
        <f t="shared" si="272"/>
        <v>0</v>
      </c>
    </row>
    <row r="175" spans="1:107" s="77" customFormat="1" ht="102" customHeight="1" x14ac:dyDescent="0.2">
      <c r="A175" s="684">
        <v>11700</v>
      </c>
      <c r="B175" s="627" t="s">
        <v>14</v>
      </c>
      <c r="C175" s="627" t="s">
        <v>1028</v>
      </c>
      <c r="D175" s="123"/>
      <c r="E175" s="123"/>
      <c r="F175" s="123" t="s">
        <v>1017</v>
      </c>
      <c r="G175" s="123"/>
      <c r="H175" s="123"/>
      <c r="I175" s="123"/>
      <c r="J175" s="123"/>
      <c r="K175" s="123"/>
      <c r="L175" s="123"/>
      <c r="M175" s="123"/>
      <c r="N175" s="123"/>
      <c r="O175" s="123"/>
      <c r="P175" s="123"/>
      <c r="Q175" s="806" t="s">
        <v>204</v>
      </c>
      <c r="R175" s="627" t="s">
        <v>204</v>
      </c>
      <c r="S175" s="629" t="s">
        <v>238</v>
      </c>
      <c r="T175" s="627" t="s">
        <v>94</v>
      </c>
      <c r="U175" s="627" t="s">
        <v>204</v>
      </c>
      <c r="V175" s="627" t="s">
        <v>204</v>
      </c>
      <c r="W175" s="629" t="s">
        <v>875</v>
      </c>
      <c r="X175" s="645" t="s">
        <v>1029</v>
      </c>
      <c r="Y175" s="641" t="s">
        <v>51</v>
      </c>
      <c r="Z175" s="811">
        <v>0.75</v>
      </c>
      <c r="AA175" s="814" t="s">
        <v>866</v>
      </c>
      <c r="AB175" s="806" t="s">
        <v>1030</v>
      </c>
      <c r="AC175" s="810">
        <v>0</v>
      </c>
      <c r="AD175" s="811">
        <v>1</v>
      </c>
      <c r="AE175" s="806" t="s">
        <v>17</v>
      </c>
      <c r="AF175" s="806" t="s">
        <v>288</v>
      </c>
      <c r="AG175" s="806" t="s">
        <v>204</v>
      </c>
      <c r="AH175" s="806" t="s">
        <v>633</v>
      </c>
      <c r="AI175" s="806" t="s">
        <v>76</v>
      </c>
      <c r="AJ175" s="806" t="s">
        <v>1291</v>
      </c>
      <c r="AK175" s="806" t="s">
        <v>1031</v>
      </c>
      <c r="AL175" s="627" t="s">
        <v>204</v>
      </c>
      <c r="AM175" s="811">
        <f>+Z175</f>
        <v>0.75</v>
      </c>
      <c r="AN175" s="806" t="str">
        <f t="shared" ref="AN175" si="422">+AB175</f>
        <v>Realizar el seguimiento a la ejecución del Plan de Adquisiciones</v>
      </c>
      <c r="AO175" s="812">
        <f t="shared" ref="AO175" si="423">+AC175</f>
        <v>0</v>
      </c>
      <c r="AP175" s="836" t="s">
        <v>46</v>
      </c>
      <c r="AQ175" s="811" t="s">
        <v>204</v>
      </c>
      <c r="AR175" s="806" t="str">
        <f t="shared" ref="AR175" si="424">+AN175</f>
        <v>Realizar el seguimiento a la ejecución del Plan de Adquisiciones</v>
      </c>
      <c r="AS175" s="810">
        <f t="shared" ref="AS175" si="425">+AO175/4</f>
        <v>0</v>
      </c>
      <c r="AT175" s="470"/>
      <c r="AU175" s="840"/>
      <c r="AV175" s="807" t="e">
        <f t="shared" ref="AV175" si="426">+(AT175/AQ175)</f>
        <v>#VALUE!</v>
      </c>
      <c r="AW175" s="807" t="e">
        <f t="shared" ref="AW175" si="427">+(AU175/AS175)</f>
        <v>#DIV/0!</v>
      </c>
      <c r="AX175" s="807">
        <f t="shared" ref="AX175" si="428">+(AT175/AM175)</f>
        <v>0</v>
      </c>
      <c r="AY175" s="807" t="e">
        <f t="shared" ref="AY175" si="429">+(AU175/AO175)</f>
        <v>#DIV/0!</v>
      </c>
      <c r="AZ175" s="465"/>
      <c r="BA175" s="811">
        <v>0.25</v>
      </c>
      <c r="BB175" s="806" t="str">
        <f t="shared" ref="BB175" si="430">+AN175</f>
        <v>Realizar el seguimiento a la ejecución del Plan de Adquisiciones</v>
      </c>
      <c r="BC175" s="810">
        <f t="shared" ref="BC175" si="431">+AO175/4</f>
        <v>0</v>
      </c>
      <c r="BD175" s="488">
        <f>(113/161)*BA175</f>
        <v>0.17546583850931677</v>
      </c>
      <c r="BE175" s="810">
        <v>0</v>
      </c>
      <c r="BF175" s="807">
        <f t="shared" ref="BF175" si="432">+(BD175/BA175)</f>
        <v>0.70186335403726707</v>
      </c>
      <c r="BG175" s="807" t="e">
        <f t="shared" ref="BG175" si="433">+(BE175/BC175)</f>
        <v>#DIV/0!</v>
      </c>
      <c r="BH175" s="807">
        <f t="shared" ref="BH175" si="434">+(BD175+AT175)/AM175</f>
        <v>0.23395445134575568</v>
      </c>
      <c r="BI175" s="807" t="e">
        <f t="shared" ref="BI175" si="435">+(BE175+AU175)/AO175</f>
        <v>#DIV/0!</v>
      </c>
      <c r="BJ175" s="808" t="s">
        <v>1743</v>
      </c>
      <c r="BK175" s="811">
        <v>0.25</v>
      </c>
      <c r="BL175" s="806" t="str">
        <f t="shared" ref="BL175" si="436">+AN175</f>
        <v>Realizar el seguimiento a la ejecución del Plan de Adquisiciones</v>
      </c>
      <c r="BM175" s="810">
        <f t="shared" ref="BM175" si="437">+AO175/4</f>
        <v>0</v>
      </c>
      <c r="BN175" s="954">
        <f>(142/170)*BK175</f>
        <v>0.20882352941176471</v>
      </c>
      <c r="BO175" s="946">
        <v>0</v>
      </c>
      <c r="BP175" s="807">
        <f t="shared" ref="BP175" si="438">+(BN175/BK175)</f>
        <v>0.83529411764705885</v>
      </c>
      <c r="BQ175" s="807" t="e">
        <f t="shared" ref="BQ175" si="439">+(BO175/BM175)</f>
        <v>#DIV/0!</v>
      </c>
      <c r="BR175" s="807">
        <f t="shared" ref="BR175" si="440">+(BD175+AT175+BN175)/AM175</f>
        <v>0.51238582389477527</v>
      </c>
      <c r="BS175" s="807" t="e">
        <f t="shared" ref="BS175" si="441">+(BE175+AU175+BO175)/AO175</f>
        <v>#DIV/0!</v>
      </c>
      <c r="BT175" s="459" t="s">
        <v>1922</v>
      </c>
      <c r="BU175" s="811">
        <v>0.25</v>
      </c>
      <c r="BV175" s="806" t="str">
        <f t="shared" ref="BV175" si="442">+AN175</f>
        <v>Realizar el seguimiento a la ejecución del Plan de Adquisiciones</v>
      </c>
      <c r="BW175" s="810">
        <f t="shared" ref="BW175" si="443">+AO175/4</f>
        <v>0</v>
      </c>
      <c r="BX175" s="488">
        <f>(167/167)*BU175</f>
        <v>0.25</v>
      </c>
      <c r="BY175" s="1130">
        <v>0</v>
      </c>
      <c r="BZ175" s="805">
        <f t="shared" ref="BZ175" si="444">+(BX175/BU175)</f>
        <v>1</v>
      </c>
      <c r="CA175" s="805" t="e">
        <f t="shared" ref="CA175" si="445">+(BY175/BW175)</f>
        <v>#DIV/0!</v>
      </c>
      <c r="CB175" s="805">
        <f t="shared" ref="CB175" si="446">+(BD175+AT175+BN175+BX175)/AM175</f>
        <v>0.84571915722810864</v>
      </c>
      <c r="CC175" s="805" t="e">
        <f t="shared" ref="CC175" si="447">+(BE175+AU175+BO175+BY175)/AO175</f>
        <v>#DIV/0!</v>
      </c>
      <c r="CD175" s="459" t="s">
        <v>2102</v>
      </c>
      <c r="CE175" s="631" t="e">
        <f t="shared" ref="CE175" si="448">IF(AND(AQ175=0,AT175=0),"No Prog ni Ejec",IF(AQ175=0,CONCATENATE("No Prog, Ejec=  ",AT175),AT175/AQ175))</f>
        <v>#VALUE!</v>
      </c>
      <c r="CF175" s="631" t="str">
        <f t="shared" ref="CF175" si="449">IF(AND(AS175=0,AU175=0),"No Prog ni Ejec",IF(AS175=0,CONCATENATE("No Prog, Ejec=  ",AU175),AU175/AS175))</f>
        <v>No Prog ni Ejec</v>
      </c>
      <c r="CG175" s="631">
        <f t="shared" ref="CG175" si="450">IF(AND(BA175=0,BD175=0),"No Prog ni Ejec",IF(BA175=0,CONCATENATE("No Prog, Ejec=  ",BD175),BD175/BA175))</f>
        <v>0.70186335403726707</v>
      </c>
      <c r="CH175" s="631" t="str">
        <f t="shared" ref="CH175" si="451">IF(AND(BC175=0,BE175=0),"No Prog ni Ejec",IF(BC175=0,CONCATENATE("No Prog, Ejec=  ",BE175),BE175/BC175))</f>
        <v>No Prog ni Ejec</v>
      </c>
      <c r="CI175" s="631">
        <f t="shared" ref="CI175" si="452">IF(AND(BK175=0,BN175=0),"No Prog ni Ejec",IF(BK175=0,CONCATENATE("No Prog, Ejec=  ",BN175),BN175/BK175))</f>
        <v>0.83529411764705885</v>
      </c>
      <c r="CJ175" s="631" t="str">
        <f t="shared" ref="CJ175" si="453">IF(AND(BM175=0,BO175=0),"No Prog ni Ejec",IF(BM175=0,CONCATENATE("No Prog, Ejec=  ",BO175),BO175/BM175))</f>
        <v>No Prog ni Ejec</v>
      </c>
      <c r="CK175" s="631">
        <f t="shared" ref="CK175" si="454">IF(AND(BU175=0,BX175=0),"No Prog ni Ejec",IF(BU175=0,CONCATENATE("No Prog, Ejec=  ",BX175),BX175/BU175))</f>
        <v>1</v>
      </c>
      <c r="CL175" s="685" t="str">
        <f t="shared" ref="CL175" si="455">IF(AND(BW175=0,BY175=0),"No Prog ni Ejec",IF(BW175=0,CONCATENATE("No Prog, Ejec=  ",BY175),BY175/BW175))</f>
        <v>No Prog ni Ejec</v>
      </c>
      <c r="CM175" s="127"/>
    </row>
    <row r="176" spans="1:107" s="1101" customFormat="1" ht="89.25" hidden="1" x14ac:dyDescent="0.2">
      <c r="A176" s="1086">
        <v>11400</v>
      </c>
      <c r="B176" s="1087" t="s">
        <v>12</v>
      </c>
      <c r="C176" s="1087" t="s">
        <v>336</v>
      </c>
      <c r="D176" s="1088" t="s">
        <v>1017</v>
      </c>
      <c r="E176" s="1088"/>
      <c r="F176" s="1088"/>
      <c r="G176" s="1088"/>
      <c r="H176" s="1088"/>
      <c r="I176" s="1088"/>
      <c r="J176" s="1088"/>
      <c r="K176" s="1088"/>
      <c r="L176" s="1088"/>
      <c r="M176" s="1088"/>
      <c r="N176" s="1088"/>
      <c r="O176" s="1088"/>
      <c r="P176" s="1088"/>
      <c r="Q176" s="1087" t="s">
        <v>1124</v>
      </c>
      <c r="R176" s="1087" t="s">
        <v>1777</v>
      </c>
      <c r="S176" s="1089" t="s">
        <v>68</v>
      </c>
      <c r="T176" s="1087" t="s">
        <v>94</v>
      </c>
      <c r="U176" s="1087" t="s">
        <v>204</v>
      </c>
      <c r="V176" s="1087" t="s">
        <v>204</v>
      </c>
      <c r="W176" s="1089" t="s">
        <v>86</v>
      </c>
      <c r="X176" s="1087" t="s">
        <v>1062</v>
      </c>
      <c r="Y176" s="1090" t="s">
        <v>390</v>
      </c>
      <c r="Z176" s="1091">
        <v>1</v>
      </c>
      <c r="AA176" s="1089" t="s">
        <v>69</v>
      </c>
      <c r="AB176" s="1087" t="s">
        <v>1061</v>
      </c>
      <c r="AC176" s="1092">
        <v>0</v>
      </c>
      <c r="AD176" s="1093">
        <v>1</v>
      </c>
      <c r="AE176" s="1087" t="s">
        <v>17</v>
      </c>
      <c r="AF176" s="1087" t="s">
        <v>299</v>
      </c>
      <c r="AG176" s="1087" t="s">
        <v>204</v>
      </c>
      <c r="AH176" s="1087" t="s">
        <v>633</v>
      </c>
      <c r="AI176" s="1087" t="s">
        <v>80</v>
      </c>
      <c r="AJ176" s="1087" t="s">
        <v>204</v>
      </c>
      <c r="AK176" s="1087" t="s">
        <v>1063</v>
      </c>
      <c r="AL176" s="1087" t="s">
        <v>42</v>
      </c>
      <c r="AM176" s="1093">
        <v>1</v>
      </c>
      <c r="AN176" s="1087" t="str">
        <f t="shared" si="417"/>
        <v xml:space="preserve">Racionalizar el trámite de Solicitud compra de cartera a través del cambio en la Resolución 4373 de 2017 del ministerio de salud </v>
      </c>
      <c r="AO176" s="1094">
        <f t="shared" ref="AO176:AO183" si="456">+AC176</f>
        <v>0</v>
      </c>
      <c r="AP176" s="1095" t="s">
        <v>46</v>
      </c>
      <c r="AQ176" s="1089">
        <v>0</v>
      </c>
      <c r="AR176" s="1087" t="str">
        <f t="shared" si="340"/>
        <v xml:space="preserve">Racionalizar el trámite de Solicitud compra de cartera a través del cambio en la Resolución 4373 de 2017 del ministerio de salud </v>
      </c>
      <c r="AS176" s="1092">
        <f t="shared" si="418"/>
        <v>0</v>
      </c>
      <c r="AT176" s="1089">
        <v>0</v>
      </c>
      <c r="AU176" s="1092">
        <v>0</v>
      </c>
      <c r="AV176" s="1096" t="e">
        <f t="shared" si="341"/>
        <v>#DIV/0!</v>
      </c>
      <c r="AW176" s="1096" t="e">
        <f t="shared" si="342"/>
        <v>#DIV/0!</v>
      </c>
      <c r="AX176" s="1096">
        <f t="shared" si="343"/>
        <v>0</v>
      </c>
      <c r="AY176" s="1096" t="e">
        <f t="shared" si="344"/>
        <v>#DIV/0!</v>
      </c>
      <c r="AZ176" s="1095" t="s">
        <v>1375</v>
      </c>
      <c r="BA176" s="1089">
        <v>0</v>
      </c>
      <c r="BB176" s="1087" t="str">
        <f t="shared" si="345"/>
        <v xml:space="preserve">Racionalizar el trámite de Solicitud compra de cartera a través del cambio en la Resolución 4373 de 2017 del ministerio de salud </v>
      </c>
      <c r="BC176" s="1092">
        <f t="shared" si="419"/>
        <v>0</v>
      </c>
      <c r="BD176" s="1090">
        <v>0</v>
      </c>
      <c r="BE176" s="1092">
        <v>0</v>
      </c>
      <c r="BF176" s="1096" t="e">
        <f t="shared" si="346"/>
        <v>#DIV/0!</v>
      </c>
      <c r="BG176" s="1096" t="e">
        <f t="shared" si="347"/>
        <v>#DIV/0!</v>
      </c>
      <c r="BH176" s="1096">
        <f t="shared" si="348"/>
        <v>0</v>
      </c>
      <c r="BI176" s="1096" t="e">
        <f t="shared" si="349"/>
        <v>#DIV/0!</v>
      </c>
      <c r="BJ176" s="1097" t="s">
        <v>1674</v>
      </c>
      <c r="BK176" s="1089">
        <v>0</v>
      </c>
      <c r="BL176" s="1087" t="str">
        <f t="shared" si="350"/>
        <v xml:space="preserve">Racionalizar el trámite de Solicitud compra de cartera a través del cambio en la Resolución 4373 de 2017 del ministerio de salud </v>
      </c>
      <c r="BM176" s="1092">
        <f t="shared" si="420"/>
        <v>0</v>
      </c>
      <c r="BN176" s="1089">
        <v>0</v>
      </c>
      <c r="BO176" s="1092">
        <v>0</v>
      </c>
      <c r="BP176" s="1096" t="e">
        <f t="shared" si="351"/>
        <v>#DIV/0!</v>
      </c>
      <c r="BQ176" s="1096" t="e">
        <f t="shared" si="352"/>
        <v>#DIV/0!</v>
      </c>
      <c r="BR176" s="1096">
        <f t="shared" si="353"/>
        <v>0</v>
      </c>
      <c r="BS176" s="1096" t="e">
        <f t="shared" si="354"/>
        <v>#DIV/0!</v>
      </c>
      <c r="BT176" s="1095" t="s">
        <v>1375</v>
      </c>
      <c r="BU176" s="1089">
        <v>1</v>
      </c>
      <c r="BV176" s="1087" t="str">
        <f t="shared" si="355"/>
        <v xml:space="preserve">Racionalizar el trámite de Solicitud compra de cartera a través del cambio en la Resolución 4373 de 2017 del ministerio de salud </v>
      </c>
      <c r="BW176" s="1092">
        <f t="shared" si="421"/>
        <v>0</v>
      </c>
      <c r="BX176" s="1089"/>
      <c r="BY176" s="1089"/>
      <c r="BZ176" s="1098">
        <f t="shared" si="356"/>
        <v>0</v>
      </c>
      <c r="CA176" s="1098" t="e">
        <f t="shared" si="357"/>
        <v>#DIV/0!</v>
      </c>
      <c r="CB176" s="1098">
        <f t="shared" si="358"/>
        <v>0</v>
      </c>
      <c r="CC176" s="1098" t="e">
        <f t="shared" si="359"/>
        <v>#DIV/0!</v>
      </c>
      <c r="CD176" s="1099"/>
      <c r="CE176" s="79" t="str">
        <f t="shared" si="331"/>
        <v>No Prog ni Ejec</v>
      </c>
      <c r="CF176" s="79" t="str">
        <f t="shared" si="332"/>
        <v>No Prog ni Ejec</v>
      </c>
      <c r="CG176" s="79" t="str">
        <f t="shared" si="333"/>
        <v>No Prog ni Ejec</v>
      </c>
      <c r="CH176" s="79" t="str">
        <f t="shared" si="334"/>
        <v>No Prog ni Ejec</v>
      </c>
      <c r="CI176" s="79" t="str">
        <f t="shared" si="335"/>
        <v>No Prog ni Ejec</v>
      </c>
      <c r="CJ176" s="79" t="str">
        <f t="shared" si="336"/>
        <v>No Prog ni Ejec</v>
      </c>
      <c r="CK176" s="79">
        <f t="shared" si="337"/>
        <v>0</v>
      </c>
      <c r="CL176" s="715" t="str">
        <f t="shared" si="338"/>
        <v>No Prog ni Ejec</v>
      </c>
      <c r="CM176" s="1100">
        <f t="shared" si="272"/>
        <v>0</v>
      </c>
      <c r="CR176" s="77"/>
      <c r="CS176" s="77"/>
      <c r="CT176" s="77"/>
      <c r="CU176" s="77"/>
      <c r="CV176" s="77"/>
      <c r="CW176" s="77"/>
      <c r="CX176" s="77"/>
      <c r="CY176" s="77"/>
      <c r="CZ176" s="77"/>
      <c r="DA176" s="77"/>
      <c r="DB176" s="77"/>
      <c r="DC176" s="77"/>
    </row>
    <row r="177" spans="1:107" s="69" customFormat="1" ht="114.75" x14ac:dyDescent="0.2">
      <c r="A177" s="813">
        <v>11400</v>
      </c>
      <c r="B177" s="806" t="s">
        <v>12</v>
      </c>
      <c r="C177" s="806" t="s">
        <v>336</v>
      </c>
      <c r="D177" s="822" t="s">
        <v>1017</v>
      </c>
      <c r="E177" s="822"/>
      <c r="F177" s="822"/>
      <c r="G177" s="822"/>
      <c r="H177" s="822"/>
      <c r="I177" s="822"/>
      <c r="J177" s="822"/>
      <c r="K177" s="822"/>
      <c r="L177" s="822"/>
      <c r="M177" s="822"/>
      <c r="N177" s="822"/>
      <c r="O177" s="822"/>
      <c r="P177" s="822"/>
      <c r="Q177" s="806" t="s">
        <v>1123</v>
      </c>
      <c r="R177" s="806" t="s">
        <v>1129</v>
      </c>
      <c r="S177" s="814" t="s">
        <v>68</v>
      </c>
      <c r="T177" s="806" t="s">
        <v>94</v>
      </c>
      <c r="U177" s="806" t="s">
        <v>204</v>
      </c>
      <c r="V177" s="806" t="s">
        <v>204</v>
      </c>
      <c r="W177" s="814" t="s">
        <v>144</v>
      </c>
      <c r="X177" s="806" t="s">
        <v>1055</v>
      </c>
      <c r="Y177" s="817" t="s">
        <v>390</v>
      </c>
      <c r="Z177" s="66">
        <v>3</v>
      </c>
      <c r="AA177" s="814" t="s">
        <v>143</v>
      </c>
      <c r="AB177" s="806" t="s">
        <v>1054</v>
      </c>
      <c r="AC177" s="810">
        <v>0</v>
      </c>
      <c r="AD177" s="811">
        <v>1</v>
      </c>
      <c r="AE177" s="806" t="s">
        <v>17</v>
      </c>
      <c r="AF177" s="806" t="s">
        <v>295</v>
      </c>
      <c r="AG177" s="806" t="s">
        <v>204</v>
      </c>
      <c r="AH177" s="806" t="s">
        <v>633</v>
      </c>
      <c r="AI177" s="806" t="s">
        <v>1045</v>
      </c>
      <c r="AJ177" s="806" t="s">
        <v>1274</v>
      </c>
      <c r="AK177" s="806" t="s">
        <v>1056</v>
      </c>
      <c r="AL177" s="806" t="s">
        <v>204</v>
      </c>
      <c r="AM177" s="67">
        <v>3</v>
      </c>
      <c r="AN177" s="806" t="str">
        <f t="shared" si="417"/>
        <v>Realizar reuniones de autocontrol y seguimiento a los procesos que evidencien el monitoreo a los riesgos, indicadores, planes de mejoramiento, manuales y documentos asociados</v>
      </c>
      <c r="AO177" s="812">
        <f t="shared" si="456"/>
        <v>0</v>
      </c>
      <c r="AP177" s="836" t="s">
        <v>48</v>
      </c>
      <c r="AQ177" s="67">
        <v>0</v>
      </c>
      <c r="AR177" s="806" t="str">
        <f t="shared" si="340"/>
        <v>Realizar reuniones de autocontrol y seguimiento a los procesos que evidencien el monitoreo a los riesgos, indicadores, planes de mejoramiento, manuales y documentos asociados</v>
      </c>
      <c r="AS177" s="810">
        <f t="shared" si="418"/>
        <v>0</v>
      </c>
      <c r="AT177" s="814">
        <v>0</v>
      </c>
      <c r="AU177" s="810">
        <v>0</v>
      </c>
      <c r="AV177" s="807" t="e">
        <f t="shared" si="341"/>
        <v>#DIV/0!</v>
      </c>
      <c r="AW177" s="807" t="e">
        <f t="shared" si="342"/>
        <v>#DIV/0!</v>
      </c>
      <c r="AX177" s="807">
        <f t="shared" si="343"/>
        <v>0</v>
      </c>
      <c r="AY177" s="807" t="e">
        <f t="shared" si="344"/>
        <v>#DIV/0!</v>
      </c>
      <c r="AZ177" s="809" t="s">
        <v>1375</v>
      </c>
      <c r="BA177" s="67">
        <v>1</v>
      </c>
      <c r="BB177" s="806" t="str">
        <f t="shared" si="345"/>
        <v>Realizar reuniones de autocontrol y seguimiento a los procesos que evidencien el monitoreo a los riesgos, indicadores, planes de mejoramiento, manuales y documentos asociados</v>
      </c>
      <c r="BC177" s="810">
        <f t="shared" si="419"/>
        <v>0</v>
      </c>
      <c r="BD177" s="817">
        <v>1</v>
      </c>
      <c r="BE177" s="810">
        <v>0</v>
      </c>
      <c r="BF177" s="807">
        <f t="shared" si="346"/>
        <v>1</v>
      </c>
      <c r="BG177" s="807" t="e">
        <f t="shared" si="347"/>
        <v>#DIV/0!</v>
      </c>
      <c r="BH177" s="807">
        <f t="shared" si="348"/>
        <v>0.33333333333333331</v>
      </c>
      <c r="BI177" s="807" t="e">
        <f t="shared" si="349"/>
        <v>#DIV/0!</v>
      </c>
      <c r="BJ177" s="808" t="s">
        <v>1675</v>
      </c>
      <c r="BK177" s="67">
        <v>1</v>
      </c>
      <c r="BL177" s="806" t="str">
        <f t="shared" si="350"/>
        <v>Realizar reuniones de autocontrol y seguimiento a los procesos que evidencien el monitoreo a los riesgos, indicadores, planes de mejoramiento, manuales y documentos asociados</v>
      </c>
      <c r="BM177" s="810">
        <f t="shared" si="420"/>
        <v>0</v>
      </c>
      <c r="BN177" s="943">
        <v>1</v>
      </c>
      <c r="BO177" s="942">
        <v>0</v>
      </c>
      <c r="BP177" s="807">
        <f t="shared" si="351"/>
        <v>1</v>
      </c>
      <c r="BQ177" s="807" t="e">
        <f t="shared" si="352"/>
        <v>#DIV/0!</v>
      </c>
      <c r="BR177" s="807">
        <f t="shared" si="353"/>
        <v>0.66666666666666663</v>
      </c>
      <c r="BS177" s="807" t="e">
        <f t="shared" si="354"/>
        <v>#DIV/0!</v>
      </c>
      <c r="BT177" s="941" t="s">
        <v>1375</v>
      </c>
      <c r="BU177" s="67">
        <v>1</v>
      </c>
      <c r="BV177" s="806" t="str">
        <f t="shared" si="355"/>
        <v>Realizar reuniones de autocontrol y seguimiento a los procesos que evidencien el monitoreo a los riesgos, indicadores, planes de mejoramiento, manuales y documentos asociados</v>
      </c>
      <c r="BW177" s="810">
        <f t="shared" si="421"/>
        <v>0</v>
      </c>
      <c r="BX177" s="1065">
        <v>1</v>
      </c>
      <c r="BY177" s="1064">
        <v>0</v>
      </c>
      <c r="BZ177" s="805">
        <f t="shared" si="356"/>
        <v>1</v>
      </c>
      <c r="CA177" s="805" t="e">
        <f t="shared" si="357"/>
        <v>#DIV/0!</v>
      </c>
      <c r="CB177" s="805">
        <f t="shared" si="358"/>
        <v>1</v>
      </c>
      <c r="CC177" s="805" t="e">
        <f t="shared" si="359"/>
        <v>#DIV/0!</v>
      </c>
      <c r="CD177" s="682" t="s">
        <v>2005</v>
      </c>
      <c r="CE177" s="631" t="str">
        <f t="shared" si="331"/>
        <v>No Prog ni Ejec</v>
      </c>
      <c r="CF177" s="631" t="str">
        <f t="shared" si="332"/>
        <v>No Prog ni Ejec</v>
      </c>
      <c r="CG177" s="631">
        <f t="shared" si="333"/>
        <v>1</v>
      </c>
      <c r="CH177" s="631" t="str">
        <f t="shared" si="334"/>
        <v>No Prog ni Ejec</v>
      </c>
      <c r="CI177" s="631">
        <f t="shared" si="335"/>
        <v>1</v>
      </c>
      <c r="CJ177" s="631" t="str">
        <f t="shared" si="336"/>
        <v>No Prog ni Ejec</v>
      </c>
      <c r="CK177" s="631">
        <f t="shared" si="337"/>
        <v>1</v>
      </c>
      <c r="CL177" s="685" t="str">
        <f t="shared" si="338"/>
        <v>No Prog ni Ejec</v>
      </c>
      <c r="CM177" s="127">
        <f t="shared" si="272"/>
        <v>0</v>
      </c>
      <c r="CW177" s="121"/>
    </row>
    <row r="178" spans="1:107" s="69" customFormat="1" ht="99.75" customHeight="1" x14ac:dyDescent="0.2">
      <c r="A178" s="813">
        <v>11500</v>
      </c>
      <c r="B178" s="806" t="s">
        <v>13</v>
      </c>
      <c r="C178" s="806" t="s">
        <v>336</v>
      </c>
      <c r="D178" s="822" t="s">
        <v>1017</v>
      </c>
      <c r="E178" s="822"/>
      <c r="F178" s="822"/>
      <c r="G178" s="822"/>
      <c r="H178" s="822"/>
      <c r="I178" s="822"/>
      <c r="J178" s="822"/>
      <c r="K178" s="822"/>
      <c r="L178" s="822"/>
      <c r="M178" s="822"/>
      <c r="N178" s="822"/>
      <c r="O178" s="822"/>
      <c r="P178" s="822"/>
      <c r="Q178" s="806" t="s">
        <v>1123</v>
      </c>
      <c r="R178" s="806" t="s">
        <v>1129</v>
      </c>
      <c r="S178" s="814" t="s">
        <v>96</v>
      </c>
      <c r="T178" s="806" t="s">
        <v>94</v>
      </c>
      <c r="U178" s="806" t="s">
        <v>204</v>
      </c>
      <c r="V178" s="806" t="s">
        <v>204</v>
      </c>
      <c r="W178" s="814" t="s">
        <v>108</v>
      </c>
      <c r="X178" s="806" t="s">
        <v>1055</v>
      </c>
      <c r="Y178" s="817" t="s">
        <v>390</v>
      </c>
      <c r="Z178" s="66">
        <v>3</v>
      </c>
      <c r="AA178" s="814" t="s">
        <v>98</v>
      </c>
      <c r="AB178" s="806" t="s">
        <v>1054</v>
      </c>
      <c r="AC178" s="810">
        <v>0</v>
      </c>
      <c r="AD178" s="811">
        <v>1</v>
      </c>
      <c r="AE178" s="806" t="s">
        <v>17</v>
      </c>
      <c r="AF178" s="806" t="s">
        <v>295</v>
      </c>
      <c r="AG178" s="806" t="s">
        <v>204</v>
      </c>
      <c r="AH178" s="806" t="s">
        <v>633</v>
      </c>
      <c r="AI178" s="806" t="s">
        <v>1045</v>
      </c>
      <c r="AJ178" s="806" t="s">
        <v>1274</v>
      </c>
      <c r="AK178" s="806" t="s">
        <v>1056</v>
      </c>
      <c r="AL178" s="806" t="s">
        <v>204</v>
      </c>
      <c r="AM178" s="67">
        <v>3</v>
      </c>
      <c r="AN178" s="806" t="str">
        <f t="shared" si="417"/>
        <v>Realizar reuniones de autocontrol y seguimiento a los procesos que evidencien el monitoreo a los riesgos, indicadores, planes de mejoramiento, manuales y documentos asociados</v>
      </c>
      <c r="AO178" s="812">
        <f t="shared" si="456"/>
        <v>0</v>
      </c>
      <c r="AP178" s="836" t="s">
        <v>48</v>
      </c>
      <c r="AQ178" s="67">
        <v>0</v>
      </c>
      <c r="AR178" s="806" t="str">
        <f t="shared" si="340"/>
        <v>Realizar reuniones de autocontrol y seguimiento a los procesos que evidencien el monitoreo a los riesgos, indicadores, planes de mejoramiento, manuales y documentos asociados</v>
      </c>
      <c r="AS178" s="810">
        <f t="shared" si="418"/>
        <v>0</v>
      </c>
      <c r="AT178" s="466">
        <v>0</v>
      </c>
      <c r="AU178" s="840">
        <v>0</v>
      </c>
      <c r="AV178" s="807" t="e">
        <f t="shared" si="341"/>
        <v>#DIV/0!</v>
      </c>
      <c r="AW178" s="807" t="e">
        <f t="shared" si="342"/>
        <v>#DIV/0!</v>
      </c>
      <c r="AX178" s="807">
        <f t="shared" si="343"/>
        <v>0</v>
      </c>
      <c r="AY178" s="807" t="e">
        <f t="shared" si="344"/>
        <v>#DIV/0!</v>
      </c>
      <c r="AZ178" s="465" t="s">
        <v>1326</v>
      </c>
      <c r="BA178" s="67">
        <v>1</v>
      </c>
      <c r="BB178" s="806" t="str">
        <f t="shared" si="345"/>
        <v>Realizar reuniones de autocontrol y seguimiento a los procesos que evidencien el monitoreo a los riesgos, indicadores, planes de mejoramiento, manuales y documentos asociados</v>
      </c>
      <c r="BC178" s="810">
        <f t="shared" si="419"/>
        <v>0</v>
      </c>
      <c r="BD178" s="817">
        <v>1</v>
      </c>
      <c r="BE178" s="810">
        <v>0</v>
      </c>
      <c r="BF178" s="807">
        <f t="shared" si="346"/>
        <v>1</v>
      </c>
      <c r="BG178" s="807" t="e">
        <f t="shared" si="347"/>
        <v>#DIV/0!</v>
      </c>
      <c r="BH178" s="807">
        <f t="shared" si="348"/>
        <v>0.33333333333333331</v>
      </c>
      <c r="BI178" s="807" t="e">
        <f t="shared" si="349"/>
        <v>#DIV/0!</v>
      </c>
      <c r="BJ178" s="806" t="s">
        <v>1687</v>
      </c>
      <c r="BK178" s="67">
        <v>1</v>
      </c>
      <c r="BL178" s="806" t="str">
        <f t="shared" si="350"/>
        <v>Realizar reuniones de autocontrol y seguimiento a los procesos que evidencien el monitoreo a los riesgos, indicadores, planes de mejoramiento, manuales y documentos asociados</v>
      </c>
      <c r="BM178" s="810">
        <f t="shared" si="420"/>
        <v>0</v>
      </c>
      <c r="BN178" s="922">
        <v>1</v>
      </c>
      <c r="BO178" s="814"/>
      <c r="BP178" s="807">
        <f t="shared" si="351"/>
        <v>1</v>
      </c>
      <c r="BQ178" s="807" t="e">
        <f t="shared" si="352"/>
        <v>#DIV/0!</v>
      </c>
      <c r="BR178" s="807">
        <f t="shared" si="353"/>
        <v>0.66666666666666663</v>
      </c>
      <c r="BS178" s="807" t="e">
        <f t="shared" si="354"/>
        <v>#DIV/0!</v>
      </c>
      <c r="BT178" s="459" t="s">
        <v>1840</v>
      </c>
      <c r="BU178" s="67">
        <v>1</v>
      </c>
      <c r="BV178" s="806" t="str">
        <f t="shared" si="355"/>
        <v>Realizar reuniones de autocontrol y seguimiento a los procesos que evidencien el monitoreo a los riesgos, indicadores, planes de mejoramiento, manuales y documentos asociados</v>
      </c>
      <c r="BW178" s="810">
        <f t="shared" si="421"/>
        <v>0</v>
      </c>
      <c r="BX178" s="1065">
        <v>1</v>
      </c>
      <c r="BY178" s="1064">
        <v>0</v>
      </c>
      <c r="BZ178" s="805">
        <f t="shared" si="356"/>
        <v>1</v>
      </c>
      <c r="CA178" s="805" t="e">
        <f t="shared" si="357"/>
        <v>#DIV/0!</v>
      </c>
      <c r="CB178" s="805">
        <f t="shared" si="358"/>
        <v>1</v>
      </c>
      <c r="CC178" s="805" t="e">
        <f t="shared" si="359"/>
        <v>#DIV/0!</v>
      </c>
      <c r="CD178" s="1059" t="s">
        <v>2015</v>
      </c>
      <c r="CE178" s="631" t="str">
        <f t="shared" si="331"/>
        <v>No Prog ni Ejec</v>
      </c>
      <c r="CF178" s="631" t="str">
        <f t="shared" si="332"/>
        <v>No Prog ni Ejec</v>
      </c>
      <c r="CG178" s="631">
        <f t="shared" si="333"/>
        <v>1</v>
      </c>
      <c r="CH178" s="631" t="str">
        <f t="shared" si="334"/>
        <v>No Prog ni Ejec</v>
      </c>
      <c r="CI178" s="631">
        <f t="shared" si="335"/>
        <v>1</v>
      </c>
      <c r="CJ178" s="631" t="str">
        <f t="shared" si="336"/>
        <v>No Prog ni Ejec</v>
      </c>
      <c r="CK178" s="631">
        <f t="shared" si="337"/>
        <v>1</v>
      </c>
      <c r="CL178" s="685" t="str">
        <f t="shared" si="338"/>
        <v>No Prog ni Ejec</v>
      </c>
      <c r="CM178" s="127">
        <f t="shared" si="272"/>
        <v>0</v>
      </c>
      <c r="CW178" s="121"/>
    </row>
    <row r="179" spans="1:107" s="77" customFormat="1" ht="89.25" customHeight="1" x14ac:dyDescent="0.2">
      <c r="A179" s="813">
        <v>12000</v>
      </c>
      <c r="B179" s="806" t="s">
        <v>15</v>
      </c>
      <c r="C179" s="806" t="s">
        <v>336</v>
      </c>
      <c r="D179" s="822"/>
      <c r="E179" s="822" t="s">
        <v>1017</v>
      </c>
      <c r="F179" s="822"/>
      <c r="G179" s="822"/>
      <c r="H179" s="822"/>
      <c r="I179" s="822"/>
      <c r="J179" s="822"/>
      <c r="K179" s="822"/>
      <c r="L179" s="822"/>
      <c r="M179" s="822"/>
      <c r="N179" s="822"/>
      <c r="O179" s="822"/>
      <c r="P179" s="822"/>
      <c r="Q179" s="806" t="s">
        <v>1125</v>
      </c>
      <c r="R179" s="806" t="s">
        <v>1127</v>
      </c>
      <c r="S179" s="814" t="s">
        <v>53</v>
      </c>
      <c r="T179" s="806" t="s">
        <v>94</v>
      </c>
      <c r="U179" s="806" t="s">
        <v>204</v>
      </c>
      <c r="V179" s="806" t="s">
        <v>204</v>
      </c>
      <c r="W179" s="814" t="s">
        <v>1118</v>
      </c>
      <c r="X179" s="806" t="s">
        <v>1080</v>
      </c>
      <c r="Y179" s="820" t="s">
        <v>390</v>
      </c>
      <c r="Z179" s="814">
        <v>1</v>
      </c>
      <c r="AA179" s="814" t="s">
        <v>1117</v>
      </c>
      <c r="AB179" s="806" t="s">
        <v>1079</v>
      </c>
      <c r="AC179" s="810">
        <v>0</v>
      </c>
      <c r="AD179" s="811">
        <v>1</v>
      </c>
      <c r="AE179" s="806" t="s">
        <v>17</v>
      </c>
      <c r="AF179" s="806" t="s">
        <v>295</v>
      </c>
      <c r="AG179" s="806" t="s">
        <v>204</v>
      </c>
      <c r="AH179" s="806" t="s">
        <v>633</v>
      </c>
      <c r="AI179" s="806" t="s">
        <v>1045</v>
      </c>
      <c r="AJ179" s="806" t="s">
        <v>1279</v>
      </c>
      <c r="AK179" s="806" t="s">
        <v>1082</v>
      </c>
      <c r="AL179" s="806" t="s">
        <v>44</v>
      </c>
      <c r="AM179" s="814">
        <v>1</v>
      </c>
      <c r="AN179" s="806" t="str">
        <f>+AB179</f>
        <v>Hacer seguimiento a la implementación de MIPG</v>
      </c>
      <c r="AO179" s="812">
        <f t="shared" si="456"/>
        <v>0</v>
      </c>
      <c r="AP179" s="836" t="s">
        <v>48</v>
      </c>
      <c r="AQ179" s="805">
        <v>0.25</v>
      </c>
      <c r="AR179" s="806" t="str">
        <f t="shared" si="340"/>
        <v>Hacer seguimiento a la implementación de MIPG</v>
      </c>
      <c r="AS179" s="810">
        <f>+AO179/4</f>
        <v>0</v>
      </c>
      <c r="AT179" s="811">
        <f>1*25%</f>
        <v>0.25</v>
      </c>
      <c r="AU179" s="819">
        <v>0</v>
      </c>
      <c r="AV179" s="807">
        <f t="shared" si="341"/>
        <v>1</v>
      </c>
      <c r="AW179" s="807" t="e">
        <f t="shared" si="342"/>
        <v>#DIV/0!</v>
      </c>
      <c r="AX179" s="807">
        <f t="shared" si="343"/>
        <v>0.25</v>
      </c>
      <c r="AY179" s="807" t="e">
        <f t="shared" si="344"/>
        <v>#DIV/0!</v>
      </c>
      <c r="AZ179" s="808" t="s">
        <v>1602</v>
      </c>
      <c r="BA179" s="805">
        <v>0</v>
      </c>
      <c r="BB179" s="806" t="str">
        <f t="shared" si="345"/>
        <v>Hacer seguimiento a la implementación de MIPG</v>
      </c>
      <c r="BC179" s="810">
        <f>+AO179/4</f>
        <v>0</v>
      </c>
      <c r="BD179" s="824">
        <v>0</v>
      </c>
      <c r="BE179" s="810">
        <v>0</v>
      </c>
      <c r="BF179" s="807" t="e">
        <f t="shared" si="346"/>
        <v>#DIV/0!</v>
      </c>
      <c r="BG179" s="807" t="e">
        <f t="shared" si="347"/>
        <v>#DIV/0!</v>
      </c>
      <c r="BH179" s="807">
        <f t="shared" si="348"/>
        <v>0.25</v>
      </c>
      <c r="BI179" s="807" t="e">
        <f t="shared" si="349"/>
        <v>#DIV/0!</v>
      </c>
      <c r="BJ179" s="809" t="s">
        <v>1331</v>
      </c>
      <c r="BK179" s="805">
        <v>0.75</v>
      </c>
      <c r="BL179" s="806" t="str">
        <f t="shared" si="350"/>
        <v>Hacer seguimiento a la implementación de MIPG</v>
      </c>
      <c r="BM179" s="810">
        <f>+AO179/4</f>
        <v>0</v>
      </c>
      <c r="BN179" s="918">
        <f>16/16*75%</f>
        <v>0.75</v>
      </c>
      <c r="BO179" s="917">
        <v>0</v>
      </c>
      <c r="BP179" s="807">
        <f t="shared" si="351"/>
        <v>1</v>
      </c>
      <c r="BQ179" s="807" t="e">
        <f t="shared" si="352"/>
        <v>#DIV/0!</v>
      </c>
      <c r="BR179" s="807">
        <f t="shared" si="353"/>
        <v>1</v>
      </c>
      <c r="BS179" s="807" t="e">
        <f t="shared" si="354"/>
        <v>#DIV/0!</v>
      </c>
      <c r="BT179" s="916" t="s">
        <v>1830</v>
      </c>
      <c r="BU179" s="805">
        <v>0</v>
      </c>
      <c r="BV179" s="806" t="str">
        <f t="shared" si="355"/>
        <v>Hacer seguimiento a la implementación de MIPG</v>
      </c>
      <c r="BW179" s="810">
        <f>+AO179/4</f>
        <v>0</v>
      </c>
      <c r="BX179" s="1046">
        <v>0</v>
      </c>
      <c r="BY179" s="1043">
        <v>0</v>
      </c>
      <c r="BZ179" s="805" t="e">
        <f t="shared" si="356"/>
        <v>#DIV/0!</v>
      </c>
      <c r="CA179" s="805" t="e">
        <f t="shared" si="357"/>
        <v>#DIV/0!</v>
      </c>
      <c r="CB179" s="805">
        <f t="shared" si="358"/>
        <v>1</v>
      </c>
      <c r="CC179" s="805" t="e">
        <f t="shared" si="359"/>
        <v>#DIV/0!</v>
      </c>
      <c r="CD179" s="682" t="s">
        <v>1962</v>
      </c>
      <c r="CE179" s="631">
        <f t="shared" si="331"/>
        <v>1</v>
      </c>
      <c r="CF179" s="631" t="str">
        <f t="shared" si="332"/>
        <v>No Prog ni Ejec</v>
      </c>
      <c r="CG179" s="631" t="str">
        <f t="shared" si="333"/>
        <v>No Prog ni Ejec</v>
      </c>
      <c r="CH179" s="631" t="str">
        <f t="shared" si="334"/>
        <v>No Prog ni Ejec</v>
      </c>
      <c r="CI179" s="631">
        <f t="shared" si="335"/>
        <v>1</v>
      </c>
      <c r="CJ179" s="631" t="str">
        <f t="shared" si="336"/>
        <v>No Prog ni Ejec</v>
      </c>
      <c r="CK179" s="631" t="str">
        <f t="shared" si="337"/>
        <v>No Prog ni Ejec</v>
      </c>
      <c r="CL179" s="685" t="str">
        <f t="shared" si="338"/>
        <v>No Prog ni Ejec</v>
      </c>
      <c r="CM179" s="127">
        <f t="shared" si="272"/>
        <v>0</v>
      </c>
    </row>
    <row r="180" spans="1:107" ht="242.25" x14ac:dyDescent="0.25">
      <c r="A180" s="813" t="s">
        <v>1223</v>
      </c>
      <c r="B180" s="806" t="s">
        <v>1222</v>
      </c>
      <c r="C180" s="806" t="s">
        <v>332</v>
      </c>
      <c r="D180" s="869"/>
      <c r="E180" s="822" t="s">
        <v>1017</v>
      </c>
      <c r="F180" s="869"/>
      <c r="G180" s="869"/>
      <c r="H180" s="869"/>
      <c r="I180" s="869"/>
      <c r="J180" s="869"/>
      <c r="K180" s="869"/>
      <c r="L180" s="869"/>
      <c r="M180" s="869"/>
      <c r="N180" s="869"/>
      <c r="O180" s="822" t="s">
        <v>1017</v>
      </c>
      <c r="P180" s="869"/>
      <c r="Q180" s="806" t="s">
        <v>204</v>
      </c>
      <c r="R180" s="806" t="s">
        <v>204</v>
      </c>
      <c r="S180" s="814" t="s">
        <v>1224</v>
      </c>
      <c r="T180" s="806" t="s">
        <v>94</v>
      </c>
      <c r="U180" s="806" t="s">
        <v>204</v>
      </c>
      <c r="V180" s="806" t="s">
        <v>204</v>
      </c>
      <c r="W180" s="815" t="s">
        <v>1227</v>
      </c>
      <c r="X180" s="806" t="s">
        <v>1234</v>
      </c>
      <c r="Y180" s="333" t="s">
        <v>390</v>
      </c>
      <c r="Z180" s="814">
        <v>1</v>
      </c>
      <c r="AA180" s="815" t="s">
        <v>1228</v>
      </c>
      <c r="AB180" s="806" t="s">
        <v>1231</v>
      </c>
      <c r="AC180" s="810">
        <v>0</v>
      </c>
      <c r="AD180" s="811">
        <v>1</v>
      </c>
      <c r="AE180" s="806" t="s">
        <v>17</v>
      </c>
      <c r="AF180" s="806" t="s">
        <v>297</v>
      </c>
      <c r="AG180" s="806" t="s">
        <v>204</v>
      </c>
      <c r="AH180" s="806" t="s">
        <v>633</v>
      </c>
      <c r="AI180" s="806" t="s">
        <v>81</v>
      </c>
      <c r="AJ180" s="806" t="s">
        <v>1266</v>
      </c>
      <c r="AK180" s="806" t="s">
        <v>1235</v>
      </c>
      <c r="AL180" s="806" t="s">
        <v>204</v>
      </c>
      <c r="AM180" s="67">
        <f>+Z180</f>
        <v>1</v>
      </c>
      <c r="AN180" s="806" t="str">
        <f>+AB180</f>
        <v>Realizar autodiagnóstico frente al cumplimiento del Régimen de protección de datos personales</v>
      </c>
      <c r="AO180" s="812">
        <f t="shared" si="456"/>
        <v>0</v>
      </c>
      <c r="AP180" s="836" t="s">
        <v>48</v>
      </c>
      <c r="AQ180" s="814">
        <v>1</v>
      </c>
      <c r="AR180" s="806" t="str">
        <f t="shared" si="340"/>
        <v>Realizar autodiagnóstico frente al cumplimiento del Régimen de protección de datos personales</v>
      </c>
      <c r="AS180" s="810">
        <v>0</v>
      </c>
      <c r="AT180" s="814">
        <v>1</v>
      </c>
      <c r="AU180" s="826">
        <v>0</v>
      </c>
      <c r="AV180" s="807">
        <f t="shared" si="341"/>
        <v>1</v>
      </c>
      <c r="AW180" s="807" t="e">
        <f t="shared" si="342"/>
        <v>#DIV/0!</v>
      </c>
      <c r="AX180" s="807">
        <f t="shared" si="343"/>
        <v>1</v>
      </c>
      <c r="AY180" s="807" t="e">
        <f t="shared" si="344"/>
        <v>#DIV/0!</v>
      </c>
      <c r="AZ180" s="459" t="s">
        <v>1379</v>
      </c>
      <c r="BA180" s="455">
        <v>0</v>
      </c>
      <c r="BB180" s="806" t="str">
        <f t="shared" si="345"/>
        <v>Realizar autodiagnóstico frente al cumplimiento del Régimen de protección de datos personales</v>
      </c>
      <c r="BC180" s="810">
        <v>0</v>
      </c>
      <c r="BD180" s="729">
        <v>0</v>
      </c>
      <c r="BE180" s="826">
        <v>0</v>
      </c>
      <c r="BF180" s="807" t="e">
        <f t="shared" si="346"/>
        <v>#DIV/0!</v>
      </c>
      <c r="BG180" s="807" t="e">
        <f t="shared" si="347"/>
        <v>#DIV/0!</v>
      </c>
      <c r="BH180" s="807">
        <f t="shared" si="348"/>
        <v>1</v>
      </c>
      <c r="BI180" s="844" t="e">
        <f t="shared" si="349"/>
        <v>#DIV/0!</v>
      </c>
      <c r="BJ180" s="808" t="s">
        <v>1661</v>
      </c>
      <c r="BK180" s="814">
        <v>0</v>
      </c>
      <c r="BL180" s="806" t="str">
        <f t="shared" si="350"/>
        <v>Realizar autodiagnóstico frente al cumplimiento del Régimen de protección de datos personales</v>
      </c>
      <c r="BM180" s="810">
        <v>0</v>
      </c>
      <c r="BN180" s="930">
        <v>0</v>
      </c>
      <c r="BO180" s="929">
        <v>0</v>
      </c>
      <c r="BP180" s="807" t="e">
        <f t="shared" si="351"/>
        <v>#DIV/0!</v>
      </c>
      <c r="BQ180" s="807" t="e">
        <f t="shared" si="352"/>
        <v>#DIV/0!</v>
      </c>
      <c r="BR180" s="807">
        <f t="shared" si="353"/>
        <v>1</v>
      </c>
      <c r="BS180" s="844" t="e">
        <f t="shared" si="354"/>
        <v>#DIV/0!</v>
      </c>
      <c r="BT180" s="807"/>
      <c r="BU180" s="867">
        <v>0</v>
      </c>
      <c r="BV180" s="806" t="str">
        <f t="shared" si="355"/>
        <v>Realizar autodiagnóstico frente al cumplimiento del Régimen de protección de datos personales</v>
      </c>
      <c r="BW180" s="810">
        <v>0</v>
      </c>
      <c r="BX180" s="1056">
        <v>0</v>
      </c>
      <c r="BY180" s="1053">
        <v>0</v>
      </c>
      <c r="BZ180" s="805" t="e">
        <f>+(BX180/BU180)</f>
        <v>#DIV/0!</v>
      </c>
      <c r="CA180" s="805" t="e">
        <f>BY180/BW180</f>
        <v>#DIV/0!</v>
      </c>
      <c r="CB180" s="805">
        <f t="shared" si="358"/>
        <v>1</v>
      </c>
      <c r="CC180" s="1051" t="e">
        <f>+(BE180+AU180+BO180+BY180)/AO180</f>
        <v>#DIV/0!</v>
      </c>
      <c r="CD180" s="1059" t="s">
        <v>1977</v>
      </c>
      <c r="CE180" s="631">
        <f t="shared" si="331"/>
        <v>1</v>
      </c>
      <c r="CF180" s="631" t="str">
        <f t="shared" si="332"/>
        <v>No Prog ni Ejec</v>
      </c>
      <c r="CG180" s="631" t="str">
        <f t="shared" si="333"/>
        <v>No Prog ni Ejec</v>
      </c>
      <c r="CH180" s="631" t="str">
        <f t="shared" si="334"/>
        <v>No Prog ni Ejec</v>
      </c>
      <c r="CI180" s="631" t="str">
        <f t="shared" si="335"/>
        <v>No Prog ni Ejec</v>
      </c>
      <c r="CJ180" s="631" t="str">
        <f t="shared" si="336"/>
        <v>No Prog ni Ejec</v>
      </c>
      <c r="CK180" s="631" t="str">
        <f t="shared" si="337"/>
        <v>No Prog ni Ejec</v>
      </c>
      <c r="CL180" s="685" t="str">
        <f t="shared" si="338"/>
        <v>No Prog ni Ejec</v>
      </c>
      <c r="CM180" s="127">
        <f>+AC180-AS180-BC180-BM180-BW180</f>
        <v>0</v>
      </c>
    </row>
    <row r="181" spans="1:107" ht="114.75" x14ac:dyDescent="0.25">
      <c r="A181" s="813" t="s">
        <v>1223</v>
      </c>
      <c r="B181" s="806" t="s">
        <v>1222</v>
      </c>
      <c r="C181" s="806" t="s">
        <v>332</v>
      </c>
      <c r="D181" s="869"/>
      <c r="E181" s="822" t="s">
        <v>1017</v>
      </c>
      <c r="F181" s="869"/>
      <c r="G181" s="869"/>
      <c r="H181" s="869"/>
      <c r="I181" s="869"/>
      <c r="J181" s="869"/>
      <c r="K181" s="869"/>
      <c r="L181" s="869"/>
      <c r="M181" s="869"/>
      <c r="N181" s="869"/>
      <c r="O181" s="822" t="s">
        <v>1017</v>
      </c>
      <c r="P181" s="869"/>
      <c r="Q181" s="806" t="s">
        <v>204</v>
      </c>
      <c r="R181" s="806" t="s">
        <v>204</v>
      </c>
      <c r="S181" s="814" t="s">
        <v>1224</v>
      </c>
      <c r="T181" s="806" t="s">
        <v>94</v>
      </c>
      <c r="U181" s="806" t="s">
        <v>204</v>
      </c>
      <c r="V181" s="806" t="s">
        <v>204</v>
      </c>
      <c r="W181" s="815" t="s">
        <v>1230</v>
      </c>
      <c r="X181" s="806" t="s">
        <v>1225</v>
      </c>
      <c r="Y181" s="333" t="s">
        <v>390</v>
      </c>
      <c r="Z181" s="814">
        <v>1</v>
      </c>
      <c r="AA181" s="815" t="s">
        <v>1229</v>
      </c>
      <c r="AB181" s="806" t="s">
        <v>1232</v>
      </c>
      <c r="AC181" s="810">
        <v>0</v>
      </c>
      <c r="AD181" s="811">
        <v>1</v>
      </c>
      <c r="AE181" s="806" t="s">
        <v>17</v>
      </c>
      <c r="AF181" s="806" t="s">
        <v>297</v>
      </c>
      <c r="AG181" s="806" t="s">
        <v>204</v>
      </c>
      <c r="AH181" s="806" t="s">
        <v>633</v>
      </c>
      <c r="AI181" s="806" t="s">
        <v>81</v>
      </c>
      <c r="AJ181" s="806" t="s">
        <v>1266</v>
      </c>
      <c r="AK181" s="806" t="s">
        <v>1236</v>
      </c>
      <c r="AL181" s="806" t="s">
        <v>204</v>
      </c>
      <c r="AM181" s="67">
        <f>+Z181</f>
        <v>1</v>
      </c>
      <c r="AN181" s="806" t="str">
        <f>+AB181</f>
        <v>Realizar registro de las bases de datos con datos personales ante la Superintendencia de Industria y Comercio - SIC</v>
      </c>
      <c r="AO181" s="812">
        <f t="shared" si="456"/>
        <v>0</v>
      </c>
      <c r="AP181" s="836" t="s">
        <v>48</v>
      </c>
      <c r="AQ181" s="814">
        <v>1</v>
      </c>
      <c r="AR181" s="806" t="str">
        <f t="shared" si="340"/>
        <v>Realizar registro de las bases de datos con datos personales ante la Superintendencia de Industria y Comercio - SIC</v>
      </c>
      <c r="AS181" s="810">
        <v>0</v>
      </c>
      <c r="AT181" s="814">
        <v>1</v>
      </c>
      <c r="AU181" s="826">
        <v>0</v>
      </c>
      <c r="AV181" s="807">
        <f t="shared" si="341"/>
        <v>1</v>
      </c>
      <c r="AW181" s="807" t="e">
        <f t="shared" si="342"/>
        <v>#DIV/0!</v>
      </c>
      <c r="AX181" s="807">
        <f t="shared" si="343"/>
        <v>1</v>
      </c>
      <c r="AY181" s="807" t="e">
        <f t="shared" si="344"/>
        <v>#DIV/0!</v>
      </c>
      <c r="AZ181" s="459" t="s">
        <v>1380</v>
      </c>
      <c r="BA181" s="455">
        <v>0</v>
      </c>
      <c r="BB181" s="806" t="str">
        <f t="shared" si="345"/>
        <v>Realizar registro de las bases de datos con datos personales ante la Superintendencia de Industria y Comercio - SIC</v>
      </c>
      <c r="BC181" s="810">
        <v>0</v>
      </c>
      <c r="BD181" s="729">
        <v>0</v>
      </c>
      <c r="BE181" s="826">
        <v>0</v>
      </c>
      <c r="BF181" s="807" t="e">
        <f t="shared" si="346"/>
        <v>#DIV/0!</v>
      </c>
      <c r="BG181" s="807" t="e">
        <f t="shared" si="347"/>
        <v>#DIV/0!</v>
      </c>
      <c r="BH181" s="807">
        <f t="shared" si="348"/>
        <v>1</v>
      </c>
      <c r="BI181" s="844" t="e">
        <f t="shared" si="349"/>
        <v>#DIV/0!</v>
      </c>
      <c r="BJ181" s="808" t="s">
        <v>1662</v>
      </c>
      <c r="BK181" s="814">
        <v>0</v>
      </c>
      <c r="BL181" s="806" t="str">
        <f t="shared" si="350"/>
        <v>Realizar registro de las bases de datos con datos personales ante la Superintendencia de Industria y Comercio - SIC</v>
      </c>
      <c r="BM181" s="810">
        <v>0</v>
      </c>
      <c r="BN181" s="930">
        <v>0</v>
      </c>
      <c r="BO181" s="929">
        <v>0</v>
      </c>
      <c r="BP181" s="807" t="e">
        <f t="shared" si="351"/>
        <v>#DIV/0!</v>
      </c>
      <c r="BQ181" s="807" t="e">
        <f t="shared" si="352"/>
        <v>#DIV/0!</v>
      </c>
      <c r="BR181" s="807">
        <f t="shared" si="353"/>
        <v>1</v>
      </c>
      <c r="BS181" s="844" t="e">
        <f t="shared" si="354"/>
        <v>#DIV/0!</v>
      </c>
      <c r="BT181" s="807"/>
      <c r="BU181" s="867">
        <v>0</v>
      </c>
      <c r="BV181" s="806" t="str">
        <f t="shared" si="355"/>
        <v>Realizar registro de las bases de datos con datos personales ante la Superintendencia de Industria y Comercio - SIC</v>
      </c>
      <c r="BW181" s="810">
        <v>0</v>
      </c>
      <c r="BX181" s="1056">
        <v>0</v>
      </c>
      <c r="BY181" s="1053">
        <v>0</v>
      </c>
      <c r="BZ181" s="805" t="e">
        <f t="shared" si="356"/>
        <v>#DIV/0!</v>
      </c>
      <c r="CA181" s="1051" t="e">
        <f>BY181/BW181</f>
        <v>#DIV/0!</v>
      </c>
      <c r="CB181" s="805">
        <f t="shared" si="358"/>
        <v>1</v>
      </c>
      <c r="CC181" s="1051" t="e">
        <f>+(BE181+AU181+BO181+BY181)/AO181</f>
        <v>#DIV/0!</v>
      </c>
      <c r="CD181" s="1059" t="s">
        <v>1977</v>
      </c>
      <c r="CE181" s="631">
        <f t="shared" si="331"/>
        <v>1</v>
      </c>
      <c r="CF181" s="631" t="str">
        <f t="shared" si="332"/>
        <v>No Prog ni Ejec</v>
      </c>
      <c r="CG181" s="631" t="str">
        <f t="shared" si="333"/>
        <v>No Prog ni Ejec</v>
      </c>
      <c r="CH181" s="631" t="str">
        <f t="shared" si="334"/>
        <v>No Prog ni Ejec</v>
      </c>
      <c r="CI181" s="631" t="str">
        <f t="shared" si="335"/>
        <v>No Prog ni Ejec</v>
      </c>
      <c r="CJ181" s="631" t="str">
        <f t="shared" si="336"/>
        <v>No Prog ni Ejec</v>
      </c>
      <c r="CK181" s="631" t="str">
        <f t="shared" si="337"/>
        <v>No Prog ni Ejec</v>
      </c>
      <c r="CL181" s="685" t="str">
        <f t="shared" si="338"/>
        <v>No Prog ni Ejec</v>
      </c>
      <c r="CM181" s="127">
        <f>+AC181-AS181-BC181-BM181-BW181</f>
        <v>0</v>
      </c>
    </row>
    <row r="182" spans="1:107" ht="204.75" thickBot="1" x14ac:dyDescent="0.3">
      <c r="A182" s="684">
        <v>11700</v>
      </c>
      <c r="B182" s="806" t="s">
        <v>14</v>
      </c>
      <c r="C182" s="627" t="s">
        <v>332</v>
      </c>
      <c r="D182" s="454"/>
      <c r="E182" s="123" t="s">
        <v>1017</v>
      </c>
      <c r="F182" s="454"/>
      <c r="G182" s="454"/>
      <c r="H182" s="454"/>
      <c r="I182" s="454"/>
      <c r="J182" s="454"/>
      <c r="K182" s="454"/>
      <c r="L182" s="454"/>
      <c r="M182" s="454"/>
      <c r="N182" s="454"/>
      <c r="O182" s="123" t="s">
        <v>1017</v>
      </c>
      <c r="P182" s="454"/>
      <c r="Q182" s="806" t="s">
        <v>204</v>
      </c>
      <c r="R182" s="627" t="s">
        <v>204</v>
      </c>
      <c r="S182" s="629" t="s">
        <v>238</v>
      </c>
      <c r="T182" s="627" t="s">
        <v>94</v>
      </c>
      <c r="U182" s="627" t="s">
        <v>204</v>
      </c>
      <c r="V182" s="627" t="s">
        <v>204</v>
      </c>
      <c r="W182" s="814" t="s">
        <v>1491</v>
      </c>
      <c r="X182" s="645" t="s">
        <v>1226</v>
      </c>
      <c r="Y182" s="96" t="s">
        <v>51</v>
      </c>
      <c r="Z182" s="805">
        <v>1</v>
      </c>
      <c r="AA182" s="814" t="s">
        <v>1490</v>
      </c>
      <c r="AB182" s="806" t="s">
        <v>1233</v>
      </c>
      <c r="AC182" s="810">
        <v>0</v>
      </c>
      <c r="AD182" s="811">
        <v>1</v>
      </c>
      <c r="AE182" s="806" t="s">
        <v>17</v>
      </c>
      <c r="AF182" s="806" t="s">
        <v>297</v>
      </c>
      <c r="AG182" s="806" t="s">
        <v>204</v>
      </c>
      <c r="AH182" s="806" t="s">
        <v>633</v>
      </c>
      <c r="AI182" s="806" t="s">
        <v>81</v>
      </c>
      <c r="AJ182" s="806" t="s">
        <v>1266</v>
      </c>
      <c r="AK182" s="806" t="s">
        <v>1293</v>
      </c>
      <c r="AL182" s="627" t="s">
        <v>204</v>
      </c>
      <c r="AM182" s="811">
        <f>+Z182</f>
        <v>1</v>
      </c>
      <c r="AN182" s="806" t="str">
        <f>+AB182</f>
        <v>Desarrollar e implementar solicitudes de autorización para el tratamiento de datos personales</v>
      </c>
      <c r="AO182" s="812">
        <f t="shared" si="456"/>
        <v>0</v>
      </c>
      <c r="AP182" s="836" t="s">
        <v>48</v>
      </c>
      <c r="AQ182" s="805">
        <v>0</v>
      </c>
      <c r="AR182" s="806" t="str">
        <f t="shared" si="340"/>
        <v>Desarrollar e implementar solicitudes de autorización para el tratamiento de datos personales</v>
      </c>
      <c r="AS182" s="810">
        <v>0</v>
      </c>
      <c r="AT182" s="814">
        <v>0</v>
      </c>
      <c r="AU182" s="826">
        <v>0</v>
      </c>
      <c r="AV182" s="807" t="e">
        <f t="shared" si="341"/>
        <v>#DIV/0!</v>
      </c>
      <c r="AW182" s="807" t="e">
        <f t="shared" si="342"/>
        <v>#DIV/0!</v>
      </c>
      <c r="AX182" s="807">
        <f t="shared" si="343"/>
        <v>0</v>
      </c>
      <c r="AY182" s="807" t="e">
        <f t="shared" si="344"/>
        <v>#DIV/0!</v>
      </c>
      <c r="AZ182" s="459" t="s">
        <v>1311</v>
      </c>
      <c r="BA182" s="456">
        <v>0</v>
      </c>
      <c r="BB182" s="806" t="str">
        <f t="shared" si="345"/>
        <v>Desarrollar e implementar solicitudes de autorización para el tratamiento de datos personales</v>
      </c>
      <c r="BC182" s="810">
        <v>0</v>
      </c>
      <c r="BD182" s="824">
        <v>0</v>
      </c>
      <c r="BE182" s="810">
        <v>0</v>
      </c>
      <c r="BF182" s="807" t="e">
        <f t="shared" si="346"/>
        <v>#DIV/0!</v>
      </c>
      <c r="BG182" s="807" t="e">
        <f t="shared" si="347"/>
        <v>#DIV/0!</v>
      </c>
      <c r="BH182" s="807">
        <f t="shared" si="348"/>
        <v>0</v>
      </c>
      <c r="BI182" s="844" t="e">
        <f t="shared" si="349"/>
        <v>#DIV/0!</v>
      </c>
      <c r="BJ182" s="809"/>
      <c r="BK182" s="805">
        <v>0.4</v>
      </c>
      <c r="BL182" s="806" t="str">
        <f>+AN182</f>
        <v>Desarrollar e implementar solicitudes de autorización para el tratamiento de datos personales</v>
      </c>
      <c r="BM182" s="810">
        <v>0</v>
      </c>
      <c r="BN182" s="949">
        <v>0</v>
      </c>
      <c r="BO182" s="946">
        <v>0</v>
      </c>
      <c r="BP182" s="807">
        <f t="shared" si="351"/>
        <v>0</v>
      </c>
      <c r="BQ182" s="807" t="e">
        <f t="shared" si="352"/>
        <v>#DIV/0!</v>
      </c>
      <c r="BR182" s="807">
        <f t="shared" si="353"/>
        <v>0</v>
      </c>
      <c r="BS182" s="844" t="e">
        <f t="shared" si="354"/>
        <v>#DIV/0!</v>
      </c>
      <c r="BT182" s="807"/>
      <c r="BU182" s="83">
        <v>0.6</v>
      </c>
      <c r="BV182" s="806" t="str">
        <f t="shared" si="355"/>
        <v>Desarrollar e implementar solicitudes de autorización para el tratamiento de datos personales</v>
      </c>
      <c r="BW182" s="810">
        <v>0</v>
      </c>
      <c r="BX182" s="528">
        <f>0/2*60%</f>
        <v>0</v>
      </c>
      <c r="BY182" s="1130">
        <v>0</v>
      </c>
      <c r="BZ182" s="805">
        <f t="shared" si="356"/>
        <v>0</v>
      </c>
      <c r="CA182" s="805" t="e">
        <f>+(BY160/BW160)</f>
        <v>#DIV/0!</v>
      </c>
      <c r="CB182" s="805">
        <f t="shared" si="358"/>
        <v>0</v>
      </c>
      <c r="CC182" s="841" t="e">
        <f>+(BE160+AU160+BO160+BY160)/AO160</f>
        <v>#DIV/0!</v>
      </c>
      <c r="CD182" s="1147" t="s">
        <v>2078</v>
      </c>
      <c r="CE182" s="631" t="str">
        <f t="shared" si="331"/>
        <v>No Prog ni Ejec</v>
      </c>
      <c r="CF182" s="631" t="str">
        <f t="shared" si="332"/>
        <v>No Prog ni Ejec</v>
      </c>
      <c r="CG182" s="631" t="str">
        <f t="shared" si="333"/>
        <v>No Prog ni Ejec</v>
      </c>
      <c r="CH182" s="631" t="str">
        <f t="shared" si="334"/>
        <v>No Prog ni Ejec</v>
      </c>
      <c r="CI182" s="631">
        <f t="shared" si="335"/>
        <v>0</v>
      </c>
      <c r="CJ182" s="631" t="str">
        <f t="shared" si="336"/>
        <v>No Prog ni Ejec</v>
      </c>
      <c r="CK182" s="631">
        <f t="shared" si="337"/>
        <v>0</v>
      </c>
      <c r="CL182" s="685" t="str">
        <f t="shared" si="338"/>
        <v>No Prog ni Ejec</v>
      </c>
      <c r="CM182" s="127">
        <f>+AC182-AS182-BC182-BM182-BW182</f>
        <v>0</v>
      </c>
    </row>
    <row r="183" spans="1:107" s="559" customFormat="1" ht="89.25" x14ac:dyDescent="0.25">
      <c r="A183" s="813">
        <v>11200</v>
      </c>
      <c r="B183" s="806" t="s">
        <v>1</v>
      </c>
      <c r="C183" s="806" t="s">
        <v>330</v>
      </c>
      <c r="D183" s="870"/>
      <c r="E183" s="870" t="s">
        <v>1017</v>
      </c>
      <c r="F183" s="870"/>
      <c r="G183" s="870"/>
      <c r="H183" s="870"/>
      <c r="I183" s="870"/>
      <c r="J183" s="870"/>
      <c r="K183" s="870"/>
      <c r="L183" s="870"/>
      <c r="M183" s="870"/>
      <c r="N183" s="870"/>
      <c r="O183" s="870"/>
      <c r="P183" s="870"/>
      <c r="Q183" s="806" t="s">
        <v>204</v>
      </c>
      <c r="R183" s="806" t="s">
        <v>204</v>
      </c>
      <c r="S183" s="814" t="s">
        <v>111</v>
      </c>
      <c r="T183" s="806" t="s">
        <v>94</v>
      </c>
      <c r="U183" s="806" t="s">
        <v>204</v>
      </c>
      <c r="V183" s="806" t="s">
        <v>204</v>
      </c>
      <c r="W183" s="814" t="s">
        <v>1439</v>
      </c>
      <c r="X183" s="806" t="s">
        <v>1440</v>
      </c>
      <c r="Y183" s="817" t="s">
        <v>52</v>
      </c>
      <c r="Z183" s="66">
        <v>1</v>
      </c>
      <c r="AA183" s="814" t="s">
        <v>1438</v>
      </c>
      <c r="AB183" s="806" t="s">
        <v>1437</v>
      </c>
      <c r="AC183" s="810">
        <v>0</v>
      </c>
      <c r="AD183" s="811">
        <v>1</v>
      </c>
      <c r="AE183" s="806" t="s">
        <v>18</v>
      </c>
      <c r="AF183" s="806" t="s">
        <v>24</v>
      </c>
      <c r="AG183" s="806" t="s">
        <v>204</v>
      </c>
      <c r="AH183" s="806" t="s">
        <v>633</v>
      </c>
      <c r="AI183" s="806" t="s">
        <v>204</v>
      </c>
      <c r="AJ183" s="806" t="s">
        <v>204</v>
      </c>
      <c r="AK183" s="806" t="s">
        <v>1441</v>
      </c>
      <c r="AL183" s="806" t="s">
        <v>296</v>
      </c>
      <c r="AM183" s="870">
        <v>1</v>
      </c>
      <c r="AN183" s="806" t="str">
        <f>+AB183</f>
        <v>Establecer las políticas y lineamientos en las comunicaciones externas e internas de la ADRES</v>
      </c>
      <c r="AO183" s="812">
        <f t="shared" si="456"/>
        <v>0</v>
      </c>
      <c r="AP183" s="836" t="s">
        <v>48</v>
      </c>
      <c r="AQ183" s="66">
        <v>0</v>
      </c>
      <c r="AR183" s="806" t="str">
        <f t="shared" ref="AR183" si="457">+AN183</f>
        <v>Establecer las políticas y lineamientos en las comunicaciones externas e internas de la ADRES</v>
      </c>
      <c r="AS183" s="810">
        <f>+AO183/4</f>
        <v>0</v>
      </c>
      <c r="AT183" s="466"/>
      <c r="AU183" s="810"/>
      <c r="AV183" s="807" t="e">
        <f t="shared" ref="AV183" si="458">+(AT183/AQ183)</f>
        <v>#DIV/0!</v>
      </c>
      <c r="AW183" s="807" t="e">
        <f t="shared" ref="AW183" si="459">+(AU183/AS183)</f>
        <v>#DIV/0!</v>
      </c>
      <c r="AX183" s="807">
        <f t="shared" ref="AX183" si="460">+(AT183/AM183)</f>
        <v>0</v>
      </c>
      <c r="AY183" s="807" t="e">
        <f t="shared" ref="AY183" si="461">+(AU183/AO183)</f>
        <v>#DIV/0!</v>
      </c>
      <c r="AZ183" s="490"/>
      <c r="BA183" s="66">
        <v>0</v>
      </c>
      <c r="BB183" s="806" t="str">
        <f t="shared" ref="BB183" si="462">+AN183</f>
        <v>Establecer las políticas y lineamientos en las comunicaciones externas e internas de la ADRES</v>
      </c>
      <c r="BC183" s="810">
        <f>+AO183/4</f>
        <v>0</v>
      </c>
      <c r="BD183" s="817">
        <v>0</v>
      </c>
      <c r="BE183" s="810">
        <v>0</v>
      </c>
      <c r="BF183" s="807" t="e">
        <f t="shared" ref="BF183" si="463">+(BD183/BA183)</f>
        <v>#DIV/0!</v>
      </c>
      <c r="BG183" s="807" t="e">
        <f t="shared" ref="BG183" si="464">+(BE183/BC183)</f>
        <v>#DIV/0!</v>
      </c>
      <c r="BH183" s="807">
        <f t="shared" ref="BH183" si="465">+(BD183+AT183)/AM183</f>
        <v>0</v>
      </c>
      <c r="BI183" s="807" t="e">
        <f t="shared" ref="BI183" si="466">+(BE183+AU183)/AO183</f>
        <v>#DIV/0!</v>
      </c>
      <c r="BJ183" s="809"/>
      <c r="BK183" s="66">
        <v>0</v>
      </c>
      <c r="BL183" s="806" t="str">
        <f t="shared" ref="BL183" si="467">+AN183</f>
        <v>Establecer las políticas y lineamientos en las comunicaciones externas e internas de la ADRES</v>
      </c>
      <c r="BM183" s="810">
        <f>+AO183/4</f>
        <v>0</v>
      </c>
      <c r="BN183" s="936">
        <v>0</v>
      </c>
      <c r="BO183" s="935">
        <v>0</v>
      </c>
      <c r="BP183" s="807" t="e">
        <f t="shared" ref="BP183" si="468">+(BN183/BK183)</f>
        <v>#DIV/0!</v>
      </c>
      <c r="BQ183" s="807" t="e">
        <f t="shared" ref="BQ183" si="469">+(BO183/BM183)</f>
        <v>#DIV/0!</v>
      </c>
      <c r="BR183" s="807">
        <f t="shared" ref="BR183" si="470">+(BD183+AT183+BN183)/AM183</f>
        <v>0</v>
      </c>
      <c r="BS183" s="807" t="e">
        <f t="shared" ref="BS183" si="471">+(BE183+AU183+BO183)/AO183</f>
        <v>#DIV/0!</v>
      </c>
      <c r="BT183" s="937" t="s">
        <v>1860</v>
      </c>
      <c r="BU183" s="66">
        <v>1</v>
      </c>
      <c r="BV183" s="806" t="str">
        <f t="shared" ref="BV183" si="472">+AN183</f>
        <v>Establecer las políticas y lineamientos en las comunicaciones externas e internas de la ADRES</v>
      </c>
      <c r="BW183" s="810">
        <f>+AO183/4</f>
        <v>0</v>
      </c>
      <c r="BX183" s="1141">
        <v>1</v>
      </c>
      <c r="BY183" s="1140">
        <v>0</v>
      </c>
      <c r="BZ183" s="805">
        <f t="shared" ref="BZ183" si="473">+(BX183/BU183)</f>
        <v>1</v>
      </c>
      <c r="CA183" s="805" t="e">
        <f t="shared" ref="CA183" si="474">+(BY183/BW183)</f>
        <v>#DIV/0!</v>
      </c>
      <c r="CB183" s="805">
        <f t="shared" ref="CB183" si="475">+(BD183+AT183+BN183+BX183)/AM183</f>
        <v>1</v>
      </c>
      <c r="CC183" s="805" t="e">
        <f t="shared" ref="CC183" si="476">+(BE183+AU183+BO183+BY183)/AO183</f>
        <v>#DIV/0!</v>
      </c>
      <c r="CD183" s="1146" t="s">
        <v>2087</v>
      </c>
      <c r="CE183" s="631" t="str">
        <f t="shared" ref="CE183" si="477">IF(AND(AQ183=0,AT183=0),"No Prog ni Ejec",IF(AQ183=0,CONCATENATE("No Prog, Ejec=  ",AT183),AT183/AQ183))</f>
        <v>No Prog ni Ejec</v>
      </c>
      <c r="CF183" s="631" t="str">
        <f t="shared" ref="CF183" si="478">IF(AND(AS183=0,AU183=0),"No Prog ni Ejec",IF(AS183=0,CONCATENATE("No Prog, Ejec=  ",AU183),AU183/AS183))</f>
        <v>No Prog ni Ejec</v>
      </c>
      <c r="CG183" s="631" t="str">
        <f t="shared" ref="CG183" si="479">IF(AND(BA183=0,BD183=0),"No Prog ni Ejec",IF(BA183=0,CONCATENATE("No Prog, Ejec=  ",BD183),BD183/BA183))</f>
        <v>No Prog ni Ejec</v>
      </c>
      <c r="CH183" s="631" t="str">
        <f t="shared" ref="CH183" si="480">IF(AND(BC183=0,BE183=0),"No Prog ni Ejec",IF(BC183=0,CONCATENATE("No Prog, Ejec=  ",BE183),BE183/BC183))</f>
        <v>No Prog ni Ejec</v>
      </c>
      <c r="CI183" s="631" t="str">
        <f t="shared" ref="CI183" si="481">IF(AND(BK183=0,BN183=0),"No Prog ni Ejec",IF(BK183=0,CONCATENATE("No Prog, Ejec=  ",BN183),BN183/BK183))</f>
        <v>No Prog ni Ejec</v>
      </c>
      <c r="CJ183" s="631" t="str">
        <f t="shared" ref="CJ183" si="482">IF(AND(BM183=0,BO183=0),"No Prog ni Ejec",IF(BM183=0,CONCATENATE("No Prog, Ejec=  ",BO183),BO183/BM183))</f>
        <v>No Prog ni Ejec</v>
      </c>
      <c r="CK183" s="631">
        <f t="shared" ref="CK183" si="483">IF(AND(BU183=0,BX183=0),"No Prog ni Ejec",IF(BU183=0,CONCATENATE("No Prog, Ejec=  ",BX183),BX183/BU183))</f>
        <v>1</v>
      </c>
      <c r="CL183" s="685" t="str">
        <f t="shared" ref="CL183" si="484">IF(AND(BW183=0,BY183=0),"No Prog ni Ejec",IF(BW183=0,CONCATENATE("No Prog, Ejec=  ",BY183),BY183/BW183))</f>
        <v>No Prog ni Ejec</v>
      </c>
      <c r="CM183" s="127">
        <f t="shared" ref="CM183" si="485">+AC183-AS183-BC183-BM183-BW183</f>
        <v>0</v>
      </c>
      <c r="CR183" s="6"/>
      <c r="CS183" s="6"/>
      <c r="CT183" s="6"/>
      <c r="CU183" s="6"/>
      <c r="CV183" s="6"/>
      <c r="CW183" s="6"/>
      <c r="CX183" s="6"/>
      <c r="CY183" s="6"/>
      <c r="CZ183" s="6"/>
      <c r="DA183" s="6"/>
      <c r="DB183" s="6"/>
      <c r="DC183" s="6"/>
    </row>
    <row r="184" spans="1:107" s="559" customFormat="1" ht="89.25" x14ac:dyDescent="0.25">
      <c r="A184" s="813">
        <v>11200</v>
      </c>
      <c r="B184" s="806" t="s">
        <v>1</v>
      </c>
      <c r="C184" s="806" t="s">
        <v>330</v>
      </c>
      <c r="D184" s="870"/>
      <c r="E184" s="870" t="s">
        <v>1017</v>
      </c>
      <c r="F184" s="870"/>
      <c r="G184" s="870"/>
      <c r="H184" s="870"/>
      <c r="I184" s="870"/>
      <c r="J184" s="870"/>
      <c r="K184" s="870"/>
      <c r="L184" s="870"/>
      <c r="M184" s="870"/>
      <c r="N184" s="870"/>
      <c r="O184" s="870"/>
      <c r="P184" s="870"/>
      <c r="Q184" s="806" t="s">
        <v>204</v>
      </c>
      <c r="R184" s="806" t="s">
        <v>204</v>
      </c>
      <c r="S184" s="814" t="s">
        <v>111</v>
      </c>
      <c r="T184" s="806" t="s">
        <v>94</v>
      </c>
      <c r="U184" s="806" t="s">
        <v>204</v>
      </c>
      <c r="V184" s="806" t="s">
        <v>204</v>
      </c>
      <c r="W184" s="814" t="s">
        <v>1447</v>
      </c>
      <c r="X184" s="806" t="s">
        <v>1449</v>
      </c>
      <c r="Y184" s="817" t="s">
        <v>52</v>
      </c>
      <c r="Z184" s="66">
        <v>3</v>
      </c>
      <c r="AA184" s="814" t="s">
        <v>1458</v>
      </c>
      <c r="AB184" s="806" t="s">
        <v>1448</v>
      </c>
      <c r="AC184" s="810">
        <v>0</v>
      </c>
      <c r="AD184" s="811">
        <v>1</v>
      </c>
      <c r="AE184" s="806" t="s">
        <v>18</v>
      </c>
      <c r="AF184" s="806" t="s">
        <v>24</v>
      </c>
      <c r="AG184" s="806" t="s">
        <v>204</v>
      </c>
      <c r="AH184" s="806" t="s">
        <v>633</v>
      </c>
      <c r="AI184" s="806" t="s">
        <v>204</v>
      </c>
      <c r="AJ184" s="806" t="s">
        <v>204</v>
      </c>
      <c r="AK184" s="806" t="s">
        <v>1450</v>
      </c>
      <c r="AL184" s="806" t="s">
        <v>296</v>
      </c>
      <c r="AM184" s="870">
        <v>3</v>
      </c>
      <c r="AN184" s="806" t="s">
        <v>1437</v>
      </c>
      <c r="AO184" s="812">
        <v>0</v>
      </c>
      <c r="AP184" s="66">
        <v>0</v>
      </c>
      <c r="AQ184" s="66">
        <v>0</v>
      </c>
      <c r="AR184" s="806" t="str">
        <f t="shared" ref="AR184" si="486">+AN184</f>
        <v>Establecer las políticas y lineamientos en las comunicaciones externas e internas de la ADRES</v>
      </c>
      <c r="AS184" s="810">
        <f>+AO184/4</f>
        <v>0</v>
      </c>
      <c r="AT184" s="466"/>
      <c r="AU184" s="810"/>
      <c r="AV184" s="807" t="e">
        <f t="shared" ref="AV184" si="487">+(AT184/AQ184)</f>
        <v>#DIV/0!</v>
      </c>
      <c r="AW184" s="807" t="e">
        <f t="shared" ref="AW184" si="488">+(AU184/AS184)</f>
        <v>#DIV/0!</v>
      </c>
      <c r="AX184" s="807">
        <f t="shared" ref="AX184" si="489">+(AT184/AM184)</f>
        <v>0</v>
      </c>
      <c r="AY184" s="807" t="e">
        <f t="shared" ref="AY184" si="490">+(AU184/AO184)</f>
        <v>#DIV/0!</v>
      </c>
      <c r="AZ184" s="490"/>
      <c r="BA184" s="66">
        <v>1</v>
      </c>
      <c r="BB184" s="806" t="str">
        <f t="shared" ref="BB184" si="491">+AN184</f>
        <v>Establecer las políticas y lineamientos en las comunicaciones externas e internas de la ADRES</v>
      </c>
      <c r="BC184" s="810">
        <f>+AO184/4</f>
        <v>0</v>
      </c>
      <c r="BD184" s="817">
        <v>2</v>
      </c>
      <c r="BE184" s="810">
        <v>0</v>
      </c>
      <c r="BF184" s="807">
        <f t="shared" ref="BF184" si="492">+(BD184/BA184)</f>
        <v>2</v>
      </c>
      <c r="BG184" s="807" t="e">
        <f t="shared" ref="BG184" si="493">+(BE184/BC184)</f>
        <v>#DIV/0!</v>
      </c>
      <c r="BH184" s="807">
        <f t="shared" ref="BH184" si="494">+(BD184+AT184)/AM184</f>
        <v>0.66666666666666663</v>
      </c>
      <c r="BI184" s="807" t="e">
        <f t="shared" ref="BI184" si="495">+(BE184+AU184)/AO184</f>
        <v>#DIV/0!</v>
      </c>
      <c r="BJ184" s="809"/>
      <c r="BK184" s="66">
        <v>1</v>
      </c>
      <c r="BL184" s="806" t="str">
        <f t="shared" ref="BL184" si="496">+AN184</f>
        <v>Establecer las políticas y lineamientos en las comunicaciones externas e internas de la ADRES</v>
      </c>
      <c r="BM184" s="810">
        <f>+AO184/4</f>
        <v>0</v>
      </c>
      <c r="BN184" s="936">
        <v>1</v>
      </c>
      <c r="BO184" s="935">
        <v>0</v>
      </c>
      <c r="BP184" s="807">
        <f t="shared" ref="BP184" si="497">+(BN184/BK184)</f>
        <v>1</v>
      </c>
      <c r="BQ184" s="807" t="e">
        <f t="shared" ref="BQ184" si="498">+(BO184/BM184)</f>
        <v>#DIV/0!</v>
      </c>
      <c r="BR184" s="807">
        <f t="shared" ref="BR184" si="499">+(BD184+AT184+BN184)/AM184</f>
        <v>1</v>
      </c>
      <c r="BS184" s="807" t="e">
        <f t="shared" ref="BS184" si="500">+(BE184+AU184+BO184)/AO184</f>
        <v>#DIV/0!</v>
      </c>
      <c r="BT184" s="937" t="s">
        <v>1861</v>
      </c>
      <c r="BU184" s="66">
        <v>1</v>
      </c>
      <c r="BV184" s="806" t="str">
        <f t="shared" ref="BV184" si="501">+AN184</f>
        <v>Establecer las políticas y lineamientos en las comunicaciones externas e internas de la ADRES</v>
      </c>
      <c r="BW184" s="810">
        <f>+AO184/4</f>
        <v>0</v>
      </c>
      <c r="BX184" s="1141">
        <v>1</v>
      </c>
      <c r="BY184" s="1140">
        <v>0</v>
      </c>
      <c r="BZ184" s="805">
        <f t="shared" ref="BZ184" si="502">+(BX184/BU184)</f>
        <v>1</v>
      </c>
      <c r="CA184" s="805" t="e">
        <f t="shared" ref="CA184" si="503">+(BY184/BW184)</f>
        <v>#DIV/0!</v>
      </c>
      <c r="CB184" s="805">
        <f>+(BD184+AT184+BN184+BX184)/AM184</f>
        <v>1.3333333333333333</v>
      </c>
      <c r="CC184" s="805" t="e">
        <f t="shared" ref="CC184" si="504">+(BE184+AU184+BO184+BY184)/AO184</f>
        <v>#DIV/0!</v>
      </c>
      <c r="CD184" s="1146" t="s">
        <v>2088</v>
      </c>
      <c r="CE184" s="631" t="str">
        <f t="shared" ref="CE184" si="505">IF(AND(AQ184=0,AT184=0),"No Prog ni Ejec",IF(AQ184=0,CONCATENATE("No Prog, Ejec=  ",AT184),AT184/AQ184))</f>
        <v>No Prog ni Ejec</v>
      </c>
      <c r="CF184" s="631" t="str">
        <f t="shared" ref="CF184" si="506">IF(AND(AS184=0,AU184=0),"No Prog ni Ejec",IF(AS184=0,CONCATENATE("No Prog, Ejec=  ",AU184),AU184/AS184))</f>
        <v>No Prog ni Ejec</v>
      </c>
      <c r="CG184" s="631">
        <f t="shared" ref="CG184" si="507">IF(AND(BA184=0,BD184=0),"No Prog ni Ejec",IF(BA184=0,CONCATENATE("No Prog, Ejec=  ",BD184),BD184/BA184))</f>
        <v>2</v>
      </c>
      <c r="CH184" s="631" t="str">
        <f t="shared" ref="CH184" si="508">IF(AND(BC184=0,BE184=0),"No Prog ni Ejec",IF(BC184=0,CONCATENATE("No Prog, Ejec=  ",BE184),BE184/BC184))</f>
        <v>No Prog ni Ejec</v>
      </c>
      <c r="CI184" s="631">
        <f t="shared" ref="CI184" si="509">IF(AND(BK184=0,BN184=0),"No Prog ni Ejec",IF(BK184=0,CONCATENATE("No Prog, Ejec=  ",BN184),BN184/BK184))</f>
        <v>1</v>
      </c>
      <c r="CJ184" s="631" t="str">
        <f t="shared" ref="CJ184" si="510">IF(AND(BM184=0,BO184=0),"No Prog ni Ejec",IF(BM184=0,CONCATENATE("No Prog, Ejec=  ",BO184),BO184/BM184))</f>
        <v>No Prog ni Ejec</v>
      </c>
      <c r="CK184" s="631">
        <f t="shared" ref="CK184" si="511">IF(AND(BU184=0,BX184=0),"No Prog ni Ejec",IF(BU184=0,CONCATENATE("No Prog, Ejec=  ",BX184),BX184/BU184))</f>
        <v>1</v>
      </c>
      <c r="CL184" s="685" t="str">
        <f t="shared" ref="CL184" si="512">IF(AND(BW184=0,BY184=0),"No Prog ni Ejec",IF(BW184=0,CONCATENATE("No Prog, Ejec=  ",BY184),BY184/BW184))</f>
        <v>No Prog ni Ejec</v>
      </c>
      <c r="CM184" s="127">
        <f t="shared" ref="CM184" si="513">+AC184-AS184-BC184-BM184-BW184</f>
        <v>0</v>
      </c>
      <c r="CR184" s="6"/>
      <c r="CS184" s="6"/>
      <c r="CT184" s="6"/>
      <c r="CU184" s="6"/>
      <c r="CV184" s="6"/>
      <c r="CW184" s="6"/>
      <c r="CX184" s="6"/>
      <c r="CY184" s="6"/>
      <c r="CZ184" s="6"/>
      <c r="DA184" s="6"/>
      <c r="DB184" s="6"/>
      <c r="DC184" s="6"/>
    </row>
    <row r="185" spans="1:107" ht="89.25" x14ac:dyDescent="0.25">
      <c r="A185" s="813">
        <v>11200</v>
      </c>
      <c r="B185" s="806" t="s">
        <v>1</v>
      </c>
      <c r="C185" s="806" t="s">
        <v>330</v>
      </c>
      <c r="D185" s="871"/>
      <c r="E185" s="871" t="s">
        <v>1017</v>
      </c>
      <c r="F185" s="871"/>
      <c r="G185" s="871"/>
      <c r="H185" s="871"/>
      <c r="I185" s="871"/>
      <c r="J185" s="871"/>
      <c r="K185" s="871"/>
      <c r="L185" s="871"/>
      <c r="M185" s="871"/>
      <c r="N185" s="871"/>
      <c r="O185" s="871"/>
      <c r="P185" s="871"/>
      <c r="Q185" s="871" t="s">
        <v>204</v>
      </c>
      <c r="R185" s="806" t="s">
        <v>204</v>
      </c>
      <c r="S185" s="814" t="s">
        <v>111</v>
      </c>
      <c r="T185" s="806" t="s">
        <v>94</v>
      </c>
      <c r="U185" s="806" t="s">
        <v>204</v>
      </c>
      <c r="V185" s="806" t="s">
        <v>204</v>
      </c>
      <c r="W185" s="814" t="s">
        <v>1454</v>
      </c>
      <c r="X185" s="806" t="s">
        <v>1445</v>
      </c>
      <c r="Y185" s="817" t="s">
        <v>52</v>
      </c>
      <c r="Z185" s="66">
        <v>1</v>
      </c>
      <c r="AA185" s="814" t="s">
        <v>1457</v>
      </c>
      <c r="AB185" s="806" t="s">
        <v>1444</v>
      </c>
      <c r="AC185" s="810">
        <v>0</v>
      </c>
      <c r="AD185" s="811">
        <v>1</v>
      </c>
      <c r="AE185" s="806" t="s">
        <v>18</v>
      </c>
      <c r="AF185" s="806" t="s">
        <v>24</v>
      </c>
      <c r="AG185" s="806" t="s">
        <v>204</v>
      </c>
      <c r="AH185" s="806" t="s">
        <v>633</v>
      </c>
      <c r="AI185" s="806" t="s">
        <v>204</v>
      </c>
      <c r="AJ185" s="806" t="s">
        <v>204</v>
      </c>
      <c r="AK185" s="806" t="s">
        <v>1446</v>
      </c>
      <c r="AL185" s="806" t="s">
        <v>204</v>
      </c>
      <c r="AM185" s="66">
        <v>1</v>
      </c>
      <c r="AN185" s="806" t="str">
        <f>+AB185</f>
        <v>Establecer los canales, actividades, lenguajes, y demás requerimientos para fortalecer la comunicación al interior del talento humano institucional</v>
      </c>
      <c r="AO185" s="812">
        <f t="shared" ref="AO185" si="514">+AC185</f>
        <v>0</v>
      </c>
      <c r="AP185" s="836" t="s">
        <v>48</v>
      </c>
      <c r="AQ185" s="66">
        <v>0</v>
      </c>
      <c r="AR185" s="806" t="str">
        <f t="shared" ref="AR185" si="515">+AN185</f>
        <v>Establecer los canales, actividades, lenguajes, y demás requerimientos para fortalecer la comunicación al interior del talento humano institucional</v>
      </c>
      <c r="AS185" s="810">
        <f>+AO185/4</f>
        <v>0</v>
      </c>
      <c r="AT185" s="466"/>
      <c r="AU185" s="810"/>
      <c r="AV185" s="807" t="e">
        <f t="shared" ref="AV185" si="516">+(AT185/AQ185)</f>
        <v>#DIV/0!</v>
      </c>
      <c r="AW185" s="807" t="e">
        <f t="shared" ref="AW185" si="517">+(AU185/AS185)</f>
        <v>#DIV/0!</v>
      </c>
      <c r="AX185" s="807">
        <f t="shared" ref="AX185" si="518">+(AT185/AM185)</f>
        <v>0</v>
      </c>
      <c r="AY185" s="807" t="e">
        <f t="shared" ref="AY185" si="519">+(AU185/AO185)</f>
        <v>#DIV/0!</v>
      </c>
      <c r="AZ185" s="490"/>
      <c r="BA185" s="66">
        <v>0</v>
      </c>
      <c r="BB185" s="806" t="str">
        <f t="shared" ref="BB185" si="520">+AN185</f>
        <v>Establecer los canales, actividades, lenguajes, y demás requerimientos para fortalecer la comunicación al interior del talento humano institucional</v>
      </c>
      <c r="BC185" s="810">
        <f>+AO185/4</f>
        <v>0</v>
      </c>
      <c r="BD185" s="817">
        <v>0</v>
      </c>
      <c r="BE185" s="810">
        <v>0</v>
      </c>
      <c r="BF185" s="807" t="e">
        <f t="shared" ref="BF185" si="521">+(BD185/BA185)</f>
        <v>#DIV/0!</v>
      </c>
      <c r="BG185" s="807" t="e">
        <f t="shared" ref="BG185" si="522">+(BE185/BC185)</f>
        <v>#DIV/0!</v>
      </c>
      <c r="BH185" s="807">
        <f t="shared" ref="BH185" si="523">+(BD185+AT185)/AM185</f>
        <v>0</v>
      </c>
      <c r="BI185" s="807" t="e">
        <f t="shared" ref="BI185" si="524">+(BE185+AU185)/AO185</f>
        <v>#DIV/0!</v>
      </c>
      <c r="BJ185" s="809"/>
      <c r="BK185" s="66">
        <v>0</v>
      </c>
      <c r="BL185" s="806" t="str">
        <f t="shared" ref="BL185" si="525">+AN185</f>
        <v>Establecer los canales, actividades, lenguajes, y demás requerimientos para fortalecer la comunicación al interior del talento humano institucional</v>
      </c>
      <c r="BM185" s="810">
        <f>+AO185/4</f>
        <v>0</v>
      </c>
      <c r="BN185" s="936">
        <v>0</v>
      </c>
      <c r="BO185" s="935">
        <v>0</v>
      </c>
      <c r="BP185" s="807" t="e">
        <f t="shared" ref="BP185" si="526">+(BN185/BK185)</f>
        <v>#DIV/0!</v>
      </c>
      <c r="BQ185" s="807" t="e">
        <f t="shared" ref="BQ185" si="527">+(BO185/BM185)</f>
        <v>#DIV/0!</v>
      </c>
      <c r="BR185" s="807">
        <f t="shared" ref="BR185" si="528">+(BD185+AT185+BN185)/AM185</f>
        <v>0</v>
      </c>
      <c r="BS185" s="807" t="e">
        <f t="shared" ref="BS185" si="529">+(BE185+AU185+BO185)/AO185</f>
        <v>#DIV/0!</v>
      </c>
      <c r="BT185" s="937" t="s">
        <v>1862</v>
      </c>
      <c r="BU185" s="66">
        <v>1</v>
      </c>
      <c r="BV185" s="806" t="str">
        <f t="shared" ref="BV185" si="530">+AN185</f>
        <v>Establecer los canales, actividades, lenguajes, y demás requerimientos para fortalecer la comunicación al interior del talento humano institucional</v>
      </c>
      <c r="BW185" s="810">
        <f>+AO185/4</f>
        <v>0</v>
      </c>
      <c r="BX185" s="1141">
        <v>1</v>
      </c>
      <c r="BY185" s="1140">
        <v>0</v>
      </c>
      <c r="BZ185" s="805">
        <f t="shared" ref="BZ185" si="531">+(BX185/BU185)</f>
        <v>1</v>
      </c>
      <c r="CA185" s="805" t="e">
        <f t="shared" ref="CA185" si="532">+(BY185/BW185)</f>
        <v>#DIV/0!</v>
      </c>
      <c r="CB185" s="805">
        <f t="shared" ref="CB185" si="533">+(BD185+AT185+BN185+BX185)/AM185</f>
        <v>1</v>
      </c>
      <c r="CC185" s="805" t="e">
        <f t="shared" ref="CC185" si="534">+(BE185+AU185+BO185+BY185)/AO185</f>
        <v>#DIV/0!</v>
      </c>
      <c r="CD185" s="1146" t="s">
        <v>2089</v>
      </c>
      <c r="CE185" s="631" t="str">
        <f t="shared" ref="CE185" si="535">IF(AND(AQ185=0,AT185=0),"No Prog ni Ejec",IF(AQ185=0,CONCATENATE("No Prog, Ejec=  ",AT185),AT185/AQ185))</f>
        <v>No Prog ni Ejec</v>
      </c>
      <c r="CF185" s="631" t="str">
        <f t="shared" ref="CF185" si="536">IF(AND(AS185=0,AU185=0),"No Prog ni Ejec",IF(AS185=0,CONCATENATE("No Prog, Ejec=  ",AU185),AU185/AS185))</f>
        <v>No Prog ni Ejec</v>
      </c>
      <c r="CG185" s="631" t="str">
        <f t="shared" ref="CG185" si="537">IF(AND(BA185=0,BD185=0),"No Prog ni Ejec",IF(BA185=0,CONCATENATE("No Prog, Ejec=  ",BD185),BD185/BA185))</f>
        <v>No Prog ni Ejec</v>
      </c>
      <c r="CH185" s="631" t="str">
        <f t="shared" ref="CH185" si="538">IF(AND(BC185=0,BE185=0),"No Prog ni Ejec",IF(BC185=0,CONCATENATE("No Prog, Ejec=  ",BE185),BE185/BC185))</f>
        <v>No Prog ni Ejec</v>
      </c>
      <c r="CI185" s="631" t="str">
        <f t="shared" ref="CI185" si="539">IF(AND(BK185=0,BN185=0),"No Prog ni Ejec",IF(BK185=0,CONCATENATE("No Prog, Ejec=  ",BN185),BN185/BK185))</f>
        <v>No Prog ni Ejec</v>
      </c>
      <c r="CJ185" s="631" t="str">
        <f t="shared" ref="CJ185" si="540">IF(AND(BM185=0,BO185=0),"No Prog ni Ejec",IF(BM185=0,CONCATENATE("No Prog, Ejec=  ",BO185),BO185/BM185))</f>
        <v>No Prog ni Ejec</v>
      </c>
      <c r="CK185" s="631">
        <f t="shared" ref="CK185" si="541">IF(AND(BU185=0,BX185=0),"No Prog ni Ejec",IF(BU185=0,CONCATENATE("No Prog, Ejec=  ",BX185),BX185/BU185))</f>
        <v>1</v>
      </c>
      <c r="CL185" s="685" t="str">
        <f t="shared" ref="CL185" si="542">IF(AND(BW185=0,BY185=0),"No Prog ni Ejec",IF(BW185=0,CONCATENATE("No Prog, Ejec=  ",BY185),BY185/BW185))</f>
        <v>No Prog ni Ejec</v>
      </c>
    </row>
    <row r="186" spans="1:107" ht="89.25" x14ac:dyDescent="0.25">
      <c r="A186" s="813">
        <v>11200</v>
      </c>
      <c r="B186" s="806" t="s">
        <v>1</v>
      </c>
      <c r="C186" s="806" t="s">
        <v>330</v>
      </c>
      <c r="D186" s="871"/>
      <c r="E186" s="871" t="s">
        <v>1017</v>
      </c>
      <c r="F186" s="871"/>
      <c r="G186" s="871"/>
      <c r="H186" s="871"/>
      <c r="I186" s="871"/>
      <c r="J186" s="871"/>
      <c r="K186" s="871"/>
      <c r="L186" s="871"/>
      <c r="M186" s="871"/>
      <c r="N186" s="871"/>
      <c r="O186" s="871"/>
      <c r="P186" s="871"/>
      <c r="Q186" s="871" t="s">
        <v>204</v>
      </c>
      <c r="R186" s="806" t="s">
        <v>204</v>
      </c>
      <c r="S186" s="814" t="s">
        <v>111</v>
      </c>
      <c r="T186" s="806" t="s">
        <v>94</v>
      </c>
      <c r="U186" s="806" t="s">
        <v>204</v>
      </c>
      <c r="V186" s="806" t="s">
        <v>204</v>
      </c>
      <c r="W186" s="814" t="s">
        <v>1455</v>
      </c>
      <c r="X186" s="806" t="s">
        <v>1452</v>
      </c>
      <c r="Y186" s="817" t="s">
        <v>52</v>
      </c>
      <c r="Z186" s="66">
        <v>1</v>
      </c>
      <c r="AA186" s="814" t="s">
        <v>1456</v>
      </c>
      <c r="AB186" s="806" t="s">
        <v>1451</v>
      </c>
      <c r="AC186" s="810">
        <v>0</v>
      </c>
      <c r="AD186" s="811">
        <v>1</v>
      </c>
      <c r="AE186" s="806" t="s">
        <v>18</v>
      </c>
      <c r="AF186" s="806" t="s">
        <v>24</v>
      </c>
      <c r="AG186" s="806" t="s">
        <v>204</v>
      </c>
      <c r="AH186" s="806" t="s">
        <v>633</v>
      </c>
      <c r="AI186" s="806" t="s">
        <v>204</v>
      </c>
      <c r="AJ186" s="806" t="s">
        <v>204</v>
      </c>
      <c r="AK186" s="806" t="s">
        <v>1453</v>
      </c>
      <c r="AL186" s="806" t="s">
        <v>204</v>
      </c>
      <c r="AM186" s="66">
        <v>1</v>
      </c>
      <c r="AN186" s="806" t="str">
        <f>+AB186</f>
        <v>Establecer los canales, actividades, temáticas y lenguajes, y demás requerimientos para fortalecer la comunicación digital de la entidad.</v>
      </c>
      <c r="AO186" s="812">
        <f t="shared" ref="AO186" si="543">+AC186</f>
        <v>0</v>
      </c>
      <c r="AP186" s="836" t="s">
        <v>48</v>
      </c>
      <c r="AQ186" s="66">
        <v>0</v>
      </c>
      <c r="AR186" s="806" t="str">
        <f t="shared" ref="AR186:AR188" si="544">+AN186</f>
        <v>Establecer los canales, actividades, temáticas y lenguajes, y demás requerimientos para fortalecer la comunicación digital de la entidad.</v>
      </c>
      <c r="AS186" s="810">
        <f>+AO186/4</f>
        <v>0</v>
      </c>
      <c r="AT186" s="466"/>
      <c r="AU186" s="810"/>
      <c r="AV186" s="807" t="e">
        <f t="shared" ref="AV186:AV188" si="545">+(AT186/AQ186)</f>
        <v>#DIV/0!</v>
      </c>
      <c r="AW186" s="807" t="e">
        <f t="shared" ref="AW186:AW188" si="546">+(AU186/AS186)</f>
        <v>#DIV/0!</v>
      </c>
      <c r="AX186" s="807">
        <f t="shared" ref="AX186:AX188" si="547">+(AT186/AM186)</f>
        <v>0</v>
      </c>
      <c r="AY186" s="807" t="e">
        <f t="shared" ref="AY186:AY188" si="548">+(AU186/AO186)</f>
        <v>#DIV/0!</v>
      </c>
      <c r="AZ186" s="490"/>
      <c r="BA186" s="66">
        <v>0</v>
      </c>
      <c r="BB186" s="806" t="str">
        <f t="shared" ref="BB186:BB188" si="549">+AN186</f>
        <v>Establecer los canales, actividades, temáticas y lenguajes, y demás requerimientos para fortalecer la comunicación digital de la entidad.</v>
      </c>
      <c r="BC186" s="810">
        <f>+AO186/4</f>
        <v>0</v>
      </c>
      <c r="BD186" s="817">
        <v>0</v>
      </c>
      <c r="BE186" s="810">
        <v>0</v>
      </c>
      <c r="BF186" s="807" t="e">
        <f t="shared" ref="BF186:BF188" si="550">+(BD186/BA186)</f>
        <v>#DIV/0!</v>
      </c>
      <c r="BG186" s="807" t="e">
        <f t="shared" ref="BG186:BG188" si="551">+(BE186/BC186)</f>
        <v>#DIV/0!</v>
      </c>
      <c r="BH186" s="807">
        <f t="shared" ref="BH186:BH188" si="552">+(BD186+AT186)/AM186</f>
        <v>0</v>
      </c>
      <c r="BI186" s="807" t="e">
        <f t="shared" ref="BI186:BI188" si="553">+(BE186+AU186)/AO186</f>
        <v>#DIV/0!</v>
      </c>
      <c r="BJ186" s="809"/>
      <c r="BK186" s="66">
        <v>1</v>
      </c>
      <c r="BL186" s="806" t="str">
        <f t="shared" ref="BL186:BL188" si="554">+AN186</f>
        <v>Establecer los canales, actividades, temáticas y lenguajes, y demás requerimientos para fortalecer la comunicación digital de la entidad.</v>
      </c>
      <c r="BM186" s="810">
        <f>+AO186/4</f>
        <v>0</v>
      </c>
      <c r="BN186" s="936">
        <v>1</v>
      </c>
      <c r="BO186" s="935">
        <v>0</v>
      </c>
      <c r="BP186" s="807">
        <f t="shared" ref="BP186:BP188" si="555">+(BN186/BK186)</f>
        <v>1</v>
      </c>
      <c r="BQ186" s="807" t="e">
        <f t="shared" ref="BQ186:BQ188" si="556">+(BO186/BM186)</f>
        <v>#DIV/0!</v>
      </c>
      <c r="BR186" s="807">
        <f t="shared" ref="BR186:BR188" si="557">+(BD186+AT186+BN186)/AM186</f>
        <v>1</v>
      </c>
      <c r="BS186" s="807" t="e">
        <f t="shared" ref="BS186:BS188" si="558">+(BE186+AU186+BO186)/AO186</f>
        <v>#DIV/0!</v>
      </c>
      <c r="BT186" s="937" t="s">
        <v>1863</v>
      </c>
      <c r="BU186" s="66">
        <v>0</v>
      </c>
      <c r="BV186" s="806" t="str">
        <f t="shared" ref="BV186:BV188" si="559">+AN186</f>
        <v>Establecer los canales, actividades, temáticas y lenguajes, y demás requerimientos para fortalecer la comunicación digital de la entidad.</v>
      </c>
      <c r="BW186" s="810">
        <f>+AO186/4</f>
        <v>0</v>
      </c>
      <c r="BX186" s="1141">
        <v>0</v>
      </c>
      <c r="BY186" s="1140">
        <v>0</v>
      </c>
      <c r="BZ186" s="805" t="e">
        <f t="shared" ref="BZ186:BZ188" si="560">+(BX186/BU186)</f>
        <v>#DIV/0!</v>
      </c>
      <c r="CA186" s="805" t="e">
        <f t="shared" ref="CA186:CA187" si="561">+(BY186/BW186)</f>
        <v>#DIV/0!</v>
      </c>
      <c r="CB186" s="805">
        <f t="shared" ref="CB186:CB188" si="562">+(BD186+AT186+BN186+BX186)/AM186</f>
        <v>1</v>
      </c>
      <c r="CC186" s="805" t="e">
        <f t="shared" ref="CC186:CC187" si="563">+(BE186+AU186+BO186+BY186)/AO186</f>
        <v>#DIV/0!</v>
      </c>
      <c r="CD186" s="1138" t="s">
        <v>2084</v>
      </c>
      <c r="CE186" s="631" t="str">
        <f t="shared" ref="CE186:CE188" si="564">IF(AND(AQ186=0,AT186=0),"No Prog ni Ejec",IF(AQ186=0,CONCATENATE("No Prog, Ejec=  ",AT186),AT186/AQ186))</f>
        <v>No Prog ni Ejec</v>
      </c>
      <c r="CF186" s="631" t="str">
        <f t="shared" ref="CF186:CF188" si="565">IF(AND(AS186=0,AU186=0),"No Prog ni Ejec",IF(AS186=0,CONCATENATE("No Prog, Ejec=  ",AU186),AU186/AS186))</f>
        <v>No Prog ni Ejec</v>
      </c>
      <c r="CG186" s="631" t="str">
        <f t="shared" ref="CG186:CG188" si="566">IF(AND(BA186=0,BD186=0),"No Prog ni Ejec",IF(BA186=0,CONCATENATE("No Prog, Ejec=  ",BD186),BD186/BA186))</f>
        <v>No Prog ni Ejec</v>
      </c>
      <c r="CH186" s="631" t="str">
        <f t="shared" ref="CH186:CH188" si="567">IF(AND(BC186=0,BE186=0),"No Prog ni Ejec",IF(BC186=0,CONCATENATE("No Prog, Ejec=  ",BE186),BE186/BC186))</f>
        <v>No Prog ni Ejec</v>
      </c>
      <c r="CI186" s="631">
        <f t="shared" ref="CI186:CI188" si="568">IF(AND(BK186=0,BN186=0),"No Prog ni Ejec",IF(BK186=0,CONCATENATE("No Prog, Ejec=  ",BN186),BN186/BK186))</f>
        <v>1</v>
      </c>
      <c r="CJ186" s="631" t="str">
        <f t="shared" ref="CJ186:CJ188" si="569">IF(AND(BM186=0,BO186=0),"No Prog ni Ejec",IF(BM186=0,CONCATENATE("No Prog, Ejec=  ",BO186),BO186/BM186))</f>
        <v>No Prog ni Ejec</v>
      </c>
      <c r="CK186" s="631" t="str">
        <f t="shared" ref="CK186:CK188" si="570">IF(AND(BU186=0,BX186=0),"No Prog ni Ejec",IF(BU186=0,CONCATENATE("No Prog, Ejec=  ",BX186),BX186/BU186))</f>
        <v>No Prog ni Ejec</v>
      </c>
      <c r="CL186" s="685" t="str">
        <f t="shared" ref="CL186:CL188" si="571">IF(AND(BW186=0,BY186=0),"No Prog ni Ejec",IF(BW186=0,CONCATENATE("No Prog, Ejec=  ",BY186),BY186/BW186))</f>
        <v>No Prog ni Ejec</v>
      </c>
    </row>
    <row r="187" spans="1:107" s="1105" customFormat="1" ht="102" hidden="1" x14ac:dyDescent="0.25">
      <c r="A187" s="1086">
        <v>11500</v>
      </c>
      <c r="B187" s="1087" t="s">
        <v>13</v>
      </c>
      <c r="C187" s="1087" t="s">
        <v>336</v>
      </c>
      <c r="D187" s="1102" t="s">
        <v>1017</v>
      </c>
      <c r="E187" s="1102"/>
      <c r="F187" s="1102"/>
      <c r="G187" s="1102"/>
      <c r="H187" s="1102"/>
      <c r="I187" s="1102"/>
      <c r="J187" s="1102"/>
      <c r="K187" s="1102"/>
      <c r="L187" s="1102"/>
      <c r="M187" s="1102"/>
      <c r="N187" s="1102"/>
      <c r="O187" s="1102"/>
      <c r="P187" s="1102"/>
      <c r="Q187" s="1087" t="s">
        <v>1124</v>
      </c>
      <c r="R187" s="1087" t="s">
        <v>1777</v>
      </c>
      <c r="S187" s="1089" t="s">
        <v>96</v>
      </c>
      <c r="T187" s="1087" t="s">
        <v>94</v>
      </c>
      <c r="U187" s="1087" t="s">
        <v>204</v>
      </c>
      <c r="V187" s="1087" t="s">
        <v>204</v>
      </c>
      <c r="W187" s="1089" t="s">
        <v>107</v>
      </c>
      <c r="X187" s="1087" t="s">
        <v>1066</v>
      </c>
      <c r="Y187" s="1090" t="s">
        <v>406</v>
      </c>
      <c r="Z187" s="1103">
        <v>1</v>
      </c>
      <c r="AA187" s="1089" t="s">
        <v>97</v>
      </c>
      <c r="AB187" s="1087" t="s">
        <v>1065</v>
      </c>
      <c r="AC187" s="1092">
        <v>0</v>
      </c>
      <c r="AD187" s="1093">
        <v>1</v>
      </c>
      <c r="AE187" s="1087" t="s">
        <v>17</v>
      </c>
      <c r="AF187" s="1087" t="s">
        <v>299</v>
      </c>
      <c r="AG187" s="1087" t="s">
        <v>204</v>
      </c>
      <c r="AH187" s="1087" t="s">
        <v>633</v>
      </c>
      <c r="AI187" s="1087" t="s">
        <v>71</v>
      </c>
      <c r="AJ187" s="1087" t="s">
        <v>204</v>
      </c>
      <c r="AK187" s="1087" t="s">
        <v>1064</v>
      </c>
      <c r="AL187" s="1087" t="s">
        <v>42</v>
      </c>
      <c r="AM187" s="1089">
        <v>1</v>
      </c>
      <c r="AN187" s="1095" t="str">
        <f>+AB187</f>
        <v>Racionalizar el trámite “Reconocimiento y pago de prestaciones por concepto de atenciones médico-quirúrgicas a víctimas de eventos catastróficos, terroristas y de accidentes de tránsito” a través de la revisión y mejoramiento del formato FURPEN.</v>
      </c>
      <c r="AO187" s="1094">
        <f>+AC187</f>
        <v>0</v>
      </c>
      <c r="AP187" s="1095" t="s">
        <v>48</v>
      </c>
      <c r="AQ187" s="1089">
        <v>0</v>
      </c>
      <c r="AR187" s="1087" t="str">
        <f t="shared" si="544"/>
        <v>Racionalizar el trámite “Reconocimiento y pago de prestaciones por concepto de atenciones médico-quirúrgicas a víctimas de eventos catastróficos, terroristas y de accidentes de tránsito” a través de la revisión y mejoramiento del formato FURPEN.</v>
      </c>
      <c r="AS187" s="1092">
        <f>+AO187/4</f>
        <v>0</v>
      </c>
      <c r="AT187" s="1089">
        <v>0</v>
      </c>
      <c r="AU187" s="1092">
        <v>0</v>
      </c>
      <c r="AV187" s="1096" t="e">
        <f t="shared" si="545"/>
        <v>#DIV/0!</v>
      </c>
      <c r="AW187" s="1096" t="e">
        <f t="shared" si="546"/>
        <v>#DIV/0!</v>
      </c>
      <c r="AX187" s="1096">
        <f t="shared" si="547"/>
        <v>0</v>
      </c>
      <c r="AY187" s="1096" t="e">
        <f t="shared" si="548"/>
        <v>#DIV/0!</v>
      </c>
      <c r="AZ187" s="1087"/>
      <c r="BA187" s="1089">
        <v>0</v>
      </c>
      <c r="BB187" s="1087" t="str">
        <f t="shared" si="549"/>
        <v>Racionalizar el trámite “Reconocimiento y pago de prestaciones por concepto de atenciones médico-quirúrgicas a víctimas de eventos catastróficos, terroristas y de accidentes de tránsito” a través de la revisión y mejoramiento del formato FURPEN.</v>
      </c>
      <c r="BC187" s="1092">
        <f>+AO187/4</f>
        <v>0</v>
      </c>
      <c r="BD187" s="1090">
        <v>0</v>
      </c>
      <c r="BE187" s="1092">
        <v>0</v>
      </c>
      <c r="BF187" s="1096" t="e">
        <f t="shared" si="550"/>
        <v>#DIV/0!</v>
      </c>
      <c r="BG187" s="1096" t="e">
        <f t="shared" si="551"/>
        <v>#DIV/0!</v>
      </c>
      <c r="BH187" s="1096">
        <f t="shared" si="552"/>
        <v>0</v>
      </c>
      <c r="BI187" s="1096" t="e">
        <f t="shared" si="553"/>
        <v>#DIV/0!</v>
      </c>
      <c r="BJ187" s="1087" t="s">
        <v>1688</v>
      </c>
      <c r="BK187" s="1089">
        <v>0</v>
      </c>
      <c r="BL187" s="1087" t="str">
        <f t="shared" si="554"/>
        <v>Racionalizar el trámite “Reconocimiento y pago de prestaciones por concepto de atenciones médico-quirúrgicas a víctimas de eventos catastróficos, terroristas y de accidentes de tránsito” a través de la revisión y mejoramiento del formato FURPEN.</v>
      </c>
      <c r="BM187" s="1092">
        <f>+AO187/4</f>
        <v>0</v>
      </c>
      <c r="BN187" s="1089"/>
      <c r="BO187" s="1089"/>
      <c r="BP187" s="1096" t="e">
        <f t="shared" si="555"/>
        <v>#DIV/0!</v>
      </c>
      <c r="BQ187" s="1096" t="e">
        <f t="shared" si="556"/>
        <v>#DIV/0!</v>
      </c>
      <c r="BR187" s="1096">
        <f t="shared" si="557"/>
        <v>0</v>
      </c>
      <c r="BS187" s="1096" t="e">
        <f t="shared" si="558"/>
        <v>#DIV/0!</v>
      </c>
      <c r="BT187" s="1104" t="s">
        <v>1841</v>
      </c>
      <c r="BU187" s="1089">
        <v>1</v>
      </c>
      <c r="BV187" s="1087" t="str">
        <f t="shared" si="559"/>
        <v>Racionalizar el trámite “Reconocimiento y pago de prestaciones por concepto de atenciones médico-quirúrgicas a víctimas de eventos catastróficos, terroristas y de accidentes de tránsito” a través de la revisión y mejoramiento del formato FURPEN.</v>
      </c>
      <c r="BW187" s="1092">
        <f>+AO187/4</f>
        <v>0</v>
      </c>
      <c r="BX187" s="1089"/>
      <c r="BY187" s="1089"/>
      <c r="BZ187" s="1098">
        <f t="shared" si="560"/>
        <v>0</v>
      </c>
      <c r="CA187" s="1098" t="e">
        <f t="shared" si="561"/>
        <v>#DIV/0!</v>
      </c>
      <c r="CB187" s="1098">
        <f t="shared" si="562"/>
        <v>0</v>
      </c>
      <c r="CC187" s="1098" t="e">
        <f t="shared" si="563"/>
        <v>#DIV/0!</v>
      </c>
      <c r="CD187" s="1099"/>
      <c r="CE187" s="79" t="str">
        <f t="shared" si="564"/>
        <v>No Prog ni Ejec</v>
      </c>
      <c r="CF187" s="79" t="str">
        <f t="shared" si="565"/>
        <v>No Prog ni Ejec</v>
      </c>
      <c r="CG187" s="79" t="str">
        <f t="shared" si="566"/>
        <v>No Prog ni Ejec</v>
      </c>
      <c r="CH187" s="79" t="str">
        <f t="shared" si="567"/>
        <v>No Prog ni Ejec</v>
      </c>
      <c r="CI187" s="79" t="str">
        <f t="shared" si="568"/>
        <v>No Prog ni Ejec</v>
      </c>
      <c r="CJ187" s="79" t="str">
        <f t="shared" si="569"/>
        <v>No Prog ni Ejec</v>
      </c>
      <c r="CK187" s="79">
        <f t="shared" si="570"/>
        <v>0</v>
      </c>
      <c r="CL187" s="715" t="str">
        <f t="shared" si="571"/>
        <v>No Prog ni Ejec</v>
      </c>
      <c r="CM187" s="1100">
        <f t="shared" ref="CM187:CM188" si="572">+AC187-AS187-BC187-BM187-BW187</f>
        <v>0</v>
      </c>
      <c r="CR187" s="6"/>
      <c r="CS187" s="6"/>
      <c r="CT187" s="6"/>
      <c r="CU187" s="6"/>
      <c r="CV187" s="6"/>
      <c r="CW187" s="6"/>
      <c r="CX187" s="6"/>
      <c r="CY187" s="6"/>
      <c r="CZ187" s="6"/>
      <c r="DA187" s="6"/>
      <c r="DB187" s="6"/>
      <c r="DC187" s="6"/>
    </row>
    <row r="188" spans="1:107" s="559" customFormat="1" ht="141" thickBot="1" x14ac:dyDescent="0.3">
      <c r="A188" s="687">
        <v>11700</v>
      </c>
      <c r="B188" s="688" t="s">
        <v>14</v>
      </c>
      <c r="C188" s="688" t="s">
        <v>669</v>
      </c>
      <c r="D188" s="743"/>
      <c r="E188" s="743"/>
      <c r="F188" s="743"/>
      <c r="G188" s="743" t="s">
        <v>1017</v>
      </c>
      <c r="H188" s="743"/>
      <c r="I188" s="743" t="s">
        <v>1017</v>
      </c>
      <c r="J188" s="743"/>
      <c r="K188" s="743"/>
      <c r="L188" s="743" t="s">
        <v>1017</v>
      </c>
      <c r="M188" s="743"/>
      <c r="N188" s="743"/>
      <c r="O188" s="743"/>
      <c r="P188" s="743"/>
      <c r="Q188" s="860" t="s">
        <v>204</v>
      </c>
      <c r="R188" s="692" t="s">
        <v>204</v>
      </c>
      <c r="S188" s="718" t="s">
        <v>111</v>
      </c>
      <c r="T188" s="692" t="s">
        <v>94</v>
      </c>
      <c r="U188" s="692" t="s">
        <v>204</v>
      </c>
      <c r="V188" s="692" t="s">
        <v>204</v>
      </c>
      <c r="W188" s="689" t="s">
        <v>739</v>
      </c>
      <c r="X188" s="688" t="s">
        <v>691</v>
      </c>
      <c r="Y188" s="690" t="s">
        <v>390</v>
      </c>
      <c r="Z188" s="746">
        <v>1</v>
      </c>
      <c r="AA188" s="718" t="s">
        <v>717</v>
      </c>
      <c r="AB188" s="692" t="s">
        <v>684</v>
      </c>
      <c r="AC188" s="861">
        <v>0</v>
      </c>
      <c r="AD188" s="691">
        <v>1</v>
      </c>
      <c r="AE188" s="692" t="s">
        <v>18</v>
      </c>
      <c r="AF188" s="692" t="s">
        <v>24</v>
      </c>
      <c r="AG188" s="692" t="s">
        <v>204</v>
      </c>
      <c r="AH188" s="692" t="s">
        <v>633</v>
      </c>
      <c r="AI188" s="692" t="s">
        <v>204</v>
      </c>
      <c r="AJ188" s="692" t="s">
        <v>1276</v>
      </c>
      <c r="AK188" s="692" t="s">
        <v>700</v>
      </c>
      <c r="AL188" s="692" t="s">
        <v>43</v>
      </c>
      <c r="AM188" s="746">
        <v>1</v>
      </c>
      <c r="AN188" s="692" t="str">
        <f>+AB188</f>
        <v>Divulgar el Plan de Emergencias</v>
      </c>
      <c r="AO188" s="722">
        <f t="shared" ref="AO188" si="573">+AC188</f>
        <v>0</v>
      </c>
      <c r="AP188" s="720" t="s">
        <v>48</v>
      </c>
      <c r="AQ188" s="863">
        <v>0</v>
      </c>
      <c r="AR188" s="692" t="str">
        <f t="shared" si="544"/>
        <v>Divulgar el Plan de Emergencias</v>
      </c>
      <c r="AS188" s="721">
        <v>0</v>
      </c>
      <c r="AT188" s="718">
        <v>0</v>
      </c>
      <c r="AU188" s="744">
        <v>0</v>
      </c>
      <c r="AV188" s="723" t="e">
        <f t="shared" si="545"/>
        <v>#DIV/0!</v>
      </c>
      <c r="AW188" s="723" t="e">
        <f t="shared" si="546"/>
        <v>#DIV/0!</v>
      </c>
      <c r="AX188" s="723">
        <f t="shared" si="547"/>
        <v>0</v>
      </c>
      <c r="AY188" s="723" t="e">
        <f t="shared" si="548"/>
        <v>#DIV/0!</v>
      </c>
      <c r="AZ188" s="745" t="s">
        <v>1311</v>
      </c>
      <c r="BA188" s="863">
        <v>0</v>
      </c>
      <c r="BB188" s="692" t="str">
        <f t="shared" si="549"/>
        <v>Divulgar el Plan de Emergencias</v>
      </c>
      <c r="BC188" s="721">
        <v>0</v>
      </c>
      <c r="BD188" s="719">
        <v>0</v>
      </c>
      <c r="BE188" s="721">
        <v>0</v>
      </c>
      <c r="BF188" s="723" t="e">
        <f t="shared" si="550"/>
        <v>#DIV/0!</v>
      </c>
      <c r="BG188" s="723" t="e">
        <f t="shared" si="551"/>
        <v>#DIV/0!</v>
      </c>
      <c r="BH188" s="723">
        <f t="shared" si="552"/>
        <v>0</v>
      </c>
      <c r="BI188" s="746" t="e">
        <f t="shared" si="553"/>
        <v>#DIV/0!</v>
      </c>
      <c r="BJ188" s="747" t="s">
        <v>1649</v>
      </c>
      <c r="BK188" s="863">
        <v>1</v>
      </c>
      <c r="BL188" s="692" t="str">
        <f t="shared" si="554"/>
        <v>Divulgar el Plan de Emergencias</v>
      </c>
      <c r="BM188" s="721">
        <v>0</v>
      </c>
      <c r="BN188" s="718">
        <v>0</v>
      </c>
      <c r="BO188" s="721">
        <v>4430407</v>
      </c>
      <c r="BP188" s="723">
        <f t="shared" si="555"/>
        <v>0</v>
      </c>
      <c r="BQ188" s="723" t="e">
        <f t="shared" si="556"/>
        <v>#DIV/0!</v>
      </c>
      <c r="BR188" s="723">
        <f t="shared" si="557"/>
        <v>0</v>
      </c>
      <c r="BS188" s="746" t="e">
        <f t="shared" si="558"/>
        <v>#DIV/0!</v>
      </c>
      <c r="BT188" s="749" t="s">
        <v>1923</v>
      </c>
      <c r="BU188" s="864">
        <v>0</v>
      </c>
      <c r="BV188" s="692" t="str">
        <f t="shared" si="559"/>
        <v>Divulgar el Plan de Emergencias</v>
      </c>
      <c r="BW188" s="721">
        <v>0</v>
      </c>
      <c r="BX188" s="718">
        <v>1</v>
      </c>
      <c r="BY188" s="1144">
        <v>4430407</v>
      </c>
      <c r="BZ188" s="724" t="e">
        <f t="shared" si="560"/>
        <v>#DIV/0!</v>
      </c>
      <c r="CA188" s="724" t="e">
        <f>+(BY166/BW166)</f>
        <v>#DIV/0!</v>
      </c>
      <c r="CB188" s="724">
        <f t="shared" si="562"/>
        <v>1</v>
      </c>
      <c r="CC188" s="748" t="e">
        <f>+(BE166+AU166+BO166+BY166)/AO166</f>
        <v>#DIV/0!</v>
      </c>
      <c r="CD188" s="1147" t="s">
        <v>2079</v>
      </c>
      <c r="CE188" s="749" t="str">
        <f t="shared" si="564"/>
        <v>No Prog ni Ejec</v>
      </c>
      <c r="CF188" s="749" t="str">
        <f t="shared" si="565"/>
        <v>No Prog ni Ejec</v>
      </c>
      <c r="CG188" s="749" t="str">
        <f t="shared" si="566"/>
        <v>No Prog ni Ejec</v>
      </c>
      <c r="CH188" s="749" t="str">
        <f t="shared" si="567"/>
        <v>No Prog ni Ejec</v>
      </c>
      <c r="CI188" s="749">
        <f t="shared" si="568"/>
        <v>0</v>
      </c>
      <c r="CJ188" s="749" t="str">
        <f t="shared" si="569"/>
        <v>No Prog, Ejec=  4430407</v>
      </c>
      <c r="CK188" s="749" t="str">
        <f t="shared" si="570"/>
        <v>No Prog, Ejec=  1</v>
      </c>
      <c r="CL188" s="750" t="str">
        <f t="shared" si="571"/>
        <v>No Prog, Ejec=  4430407</v>
      </c>
      <c r="CM188" s="559">
        <f t="shared" si="572"/>
        <v>0</v>
      </c>
      <c r="CR188" s="6"/>
      <c r="CS188" s="6"/>
      <c r="CT188" s="6"/>
      <c r="CU188" s="6"/>
      <c r="CV188" s="6"/>
      <c r="CW188" s="6"/>
      <c r="CX188" s="6"/>
      <c r="CY188" s="6"/>
      <c r="CZ188" s="6"/>
      <c r="DA188" s="6"/>
      <c r="DB188" s="6"/>
      <c r="DC188" s="6"/>
    </row>
    <row r="189" spans="1:107" s="559" customFormat="1" x14ac:dyDescent="0.25">
      <c r="A189" s="591"/>
      <c r="B189" s="449"/>
      <c r="C189" s="449"/>
      <c r="D189"/>
      <c r="E189"/>
      <c r="F189"/>
      <c r="G189"/>
      <c r="H189"/>
      <c r="I189"/>
      <c r="J189"/>
      <c r="K189"/>
      <c r="L189"/>
      <c r="M189"/>
      <c r="N189"/>
      <c r="O189"/>
      <c r="P189"/>
      <c r="Q189"/>
      <c r="R189"/>
      <c r="S189"/>
      <c r="T189"/>
      <c r="U189"/>
      <c r="V189" s="725"/>
      <c r="W189" s="591"/>
      <c r="X189" s="449"/>
      <c r="Y189" s="592"/>
      <c r="Z189" s="593"/>
      <c r="AA189" s="591"/>
      <c r="AB189" s="449"/>
      <c r="AC189" s="594"/>
      <c r="AD189"/>
      <c r="AE189"/>
      <c r="AF189"/>
      <c r="AG189"/>
      <c r="AH189"/>
      <c r="AI189"/>
      <c r="AJ189"/>
      <c r="AK189" s="595"/>
      <c r="AL189"/>
      <c r="AM189" s="593"/>
      <c r="AN189" s="595"/>
      <c r="AO189" s="596"/>
      <c r="AP189"/>
      <c r="AQ189" s="597"/>
      <c r="AR189" s="595"/>
      <c r="AS189" s="598"/>
      <c r="AT189" s="599"/>
      <c r="AU189" s="600"/>
      <c r="AV189" s="601"/>
      <c r="AW189" s="601"/>
      <c r="AX189" s="601"/>
      <c r="AY189" s="601"/>
      <c r="AZ189" s="602"/>
      <c r="BA189" s="597"/>
      <c r="BB189" s="595"/>
      <c r="BC189" s="598"/>
      <c r="BD189" s="603"/>
      <c r="BE189" s="604"/>
      <c r="BF189" s="601"/>
      <c r="BG189" s="601"/>
      <c r="BH189" s="601"/>
      <c r="BI189" s="605"/>
      <c r="BJ189" s="601"/>
      <c r="BK189" s="597"/>
      <c r="BL189" s="595"/>
      <c r="BM189" s="598"/>
      <c r="BN189" s="599"/>
      <c r="BO189" s="599"/>
      <c r="BP189" s="601"/>
      <c r="BQ189" s="601"/>
      <c r="BR189" s="601"/>
      <c r="BS189" s="605"/>
      <c r="BT189" s="601"/>
      <c r="BU189" s="606"/>
      <c r="BV189" s="595"/>
      <c r="BW189" s="598"/>
      <c r="BX189" s="599"/>
      <c r="BY189" s="599"/>
      <c r="BZ189" s="607"/>
      <c r="CA189" s="607"/>
      <c r="CB189" s="607"/>
      <c r="CC189" s="608"/>
      <c r="CD189" s="607"/>
      <c r="CE189" s="609"/>
      <c r="CF189" s="609"/>
      <c r="CG189" s="609"/>
      <c r="CH189" s="609"/>
      <c r="CI189" s="609"/>
      <c r="CJ189" s="609"/>
      <c r="CK189" s="609"/>
      <c r="CL189" s="609"/>
      <c r="CR189" s="6"/>
      <c r="CS189" s="6"/>
      <c r="CT189" s="6"/>
      <c r="CU189" s="6"/>
      <c r="CV189" s="6"/>
      <c r="CW189" s="6"/>
      <c r="CX189" s="6"/>
      <c r="CY189" s="6"/>
      <c r="CZ189" s="6"/>
      <c r="DA189" s="6"/>
      <c r="DB189" s="6"/>
      <c r="DC189" s="6"/>
    </row>
    <row r="190" spans="1:107" x14ac:dyDescent="0.25">
      <c r="Y190" s="59"/>
      <c r="AC190" s="852">
        <f>SUM(AC9:AC188)-AC73-AC113-AC115</f>
        <v>8125855588.4830008</v>
      </c>
      <c r="AN190">
        <v>131</v>
      </c>
      <c r="AO190" s="852">
        <f>SUM(AO9:AO188)-AO73-AO113-AO115</f>
        <v>7318455173.4829998</v>
      </c>
      <c r="AS190" s="852">
        <f>SUM(AS9:AS188)-AS73-AS113-AS115</f>
        <v>3896936505.4503775</v>
      </c>
      <c r="AU190" s="852">
        <f>SUM(AU9:AU188)-AU73-AU113-AU115</f>
        <v>4492615565.0100002</v>
      </c>
      <c r="BC190" s="852">
        <f>SUM(BC9:BC188)-BC73-BC113-BC115</f>
        <v>1072731241.048609</v>
      </c>
      <c r="BE190" s="852">
        <f>SUM(BE9:BE188)-BE73-BE113-BE115</f>
        <v>713609441.71000004</v>
      </c>
      <c r="BM190" s="852">
        <f>SUM(BM9:BM188)-BM73-BM113-BM115</f>
        <v>1468234755.8087201</v>
      </c>
      <c r="BO190" s="852">
        <f>SUM(BO9:BO188)-BO73-BO113-BO115</f>
        <v>802372596.27272725</v>
      </c>
      <c r="BW190" s="852">
        <f>SUM(BW9:BW188)-BW73-BW113-BW115</f>
        <v>1437266648.2796645</v>
      </c>
      <c r="BY190" s="852">
        <f>SUM(BY9:BY188)-BY73-BY113-BY115</f>
        <v>1235250413</v>
      </c>
      <c r="CM190" s="853">
        <f>+AC190-AS190-BC190-BM190-BW190</f>
        <v>250686437.89562988</v>
      </c>
    </row>
    <row r="191" spans="1:107" ht="42.75" customHeight="1" x14ac:dyDescent="0.25">
      <c r="A191" s="1326" t="s">
        <v>2103</v>
      </c>
      <c r="B191" s="1326"/>
      <c r="C191" s="1326"/>
      <c r="D191" s="1326"/>
      <c r="E191" s="1326"/>
      <c r="F191" s="1326"/>
      <c r="G191" s="1326"/>
      <c r="H191" s="1326"/>
      <c r="I191" s="1326"/>
      <c r="J191" s="1326"/>
      <c r="K191" s="1326"/>
      <c r="L191" s="1326"/>
      <c r="M191" s="1326"/>
      <c r="N191" s="1326"/>
      <c r="O191" s="1326"/>
      <c r="P191" s="1326"/>
      <c r="Q191" s="1326"/>
      <c r="R191" s="1326"/>
      <c r="S191" s="1326"/>
      <c r="T191" s="1326"/>
      <c r="U191" s="575"/>
      <c r="V191" s="575"/>
      <c r="W191" s="588"/>
      <c r="X191" s="588"/>
      <c r="Y191" s="588"/>
      <c r="Z191" s="588"/>
      <c r="AA191" s="588"/>
      <c r="AB191" s="588"/>
      <c r="AC191" s="588"/>
      <c r="AD191" s="575"/>
      <c r="AE191" s="575"/>
      <c r="AF191" s="575"/>
      <c r="AG191" s="575"/>
      <c r="AH191" s="575"/>
      <c r="AI191" s="575"/>
      <c r="AJ191" s="575"/>
      <c r="AK191" s="588"/>
      <c r="AL191" s="575"/>
      <c r="AM191" s="588"/>
      <c r="AN191" s="588">
        <v>13</v>
      </c>
    </row>
    <row r="192" spans="1:107" x14ac:dyDescent="0.25">
      <c r="AN192">
        <f>+AN190-AN191</f>
        <v>118</v>
      </c>
      <c r="AS192" s="854"/>
      <c r="AU192" s="854"/>
      <c r="BE192" s="855"/>
    </row>
    <row r="193" spans="1:47" hidden="1" x14ac:dyDescent="0.25">
      <c r="A193" s="574"/>
      <c r="B193" s="22" t="s">
        <v>1488</v>
      </c>
    </row>
    <row r="195" spans="1:47" x14ac:dyDescent="0.25">
      <c r="AU195" s="855"/>
    </row>
  </sheetData>
  <sheetProtection algorithmName="SHA-512" hashValue="GWGLSGvHxjKmbzdi6YHaWV6LG7XeEzr83zS6biJFjwX65Z2qSIcrrYbwc1SD71k/FMl1vSEFdP1PxBbsG9Tp2A==" saltValue="TxRrtrhNslDZZTkJ3LUNbQ==" spinCount="100000" sheet="1" objects="1" scenarios="1"/>
  <autoFilter ref="A8:DC188" xr:uid="{412ED375-6F68-4700-90D0-1430FB214649}"/>
  <mergeCells count="512">
    <mergeCell ref="A191:T191"/>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 ref="BF94:BF112"/>
    <mergeCell ref="BG94:BG112"/>
    <mergeCell ref="BH94:BH112"/>
    <mergeCell ref="BI94:BI112"/>
    <mergeCell ref="BJ94:BJ112"/>
    <mergeCell ref="BK94:BK112"/>
    <mergeCell ref="BM94:BM112"/>
    <mergeCell ref="BN94:BN112"/>
    <mergeCell ref="BO94:BO112"/>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Z80:Z85"/>
    <mergeCell ref="AK80:AK85"/>
    <mergeCell ref="AM80:AM85"/>
    <mergeCell ref="AN80:AN85"/>
    <mergeCell ref="AO80:AO85"/>
    <mergeCell ref="AQ80:AQ85"/>
    <mergeCell ref="AR80:AR85"/>
    <mergeCell ref="AS80:AS85"/>
    <mergeCell ref="AT80:AT85"/>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AA39:AA40"/>
    <mergeCell ref="AA92:AA93"/>
    <mergeCell ref="AO115:AO117"/>
    <mergeCell ref="AB92:AB93"/>
    <mergeCell ref="AD116:AD117"/>
    <mergeCell ref="AB94:AB113"/>
    <mergeCell ref="AI94:AI112"/>
    <mergeCell ref="AL94:AL112"/>
    <mergeCell ref="AA86:AA91"/>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L35:CL36"/>
    <mergeCell ref="BY35:BY36"/>
    <mergeCell ref="CA35:CA36"/>
    <mergeCell ref="CC35:CC36"/>
    <mergeCell ref="CH39:CH40"/>
    <mergeCell ref="CJ39:CJ40"/>
    <mergeCell ref="CL39:CL40"/>
    <mergeCell ref="BW39:BW40"/>
    <mergeCell ref="CA39:CA40"/>
    <mergeCell ref="CC39:CC40"/>
    <mergeCell ref="BY39:BY40"/>
    <mergeCell ref="CF39:CF40"/>
    <mergeCell ref="BM35:BM36"/>
    <mergeCell ref="BW35:BW36"/>
    <mergeCell ref="BB35:BB36"/>
    <mergeCell ref="BL35:BL36"/>
    <mergeCell ref="BV35:BV36"/>
    <mergeCell ref="CF35:CF36"/>
    <mergeCell ref="CH35:CH36"/>
    <mergeCell ref="CJ35:CJ36"/>
    <mergeCell ref="BG35:BG36"/>
    <mergeCell ref="BI35:BI36"/>
    <mergeCell ref="BC35:BC36"/>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A1:B3"/>
    <mergeCell ref="CI1:CL3"/>
    <mergeCell ref="X1:CH1"/>
    <mergeCell ref="Y2:CF3"/>
    <mergeCell ref="CG2:CG3"/>
    <mergeCell ref="CH2:CH3"/>
    <mergeCell ref="X2:X3"/>
    <mergeCell ref="C1:W1"/>
    <mergeCell ref="C2:W2"/>
    <mergeCell ref="C3:W3"/>
    <mergeCell ref="CF10:CF13"/>
    <mergeCell ref="BS31:BS34"/>
    <mergeCell ref="BB31:BB34"/>
    <mergeCell ref="BC31:BC34"/>
    <mergeCell ref="BL31:BL34"/>
    <mergeCell ref="BM31:BM34"/>
    <mergeCell ref="AW29:AW30"/>
    <mergeCell ref="AU26:AU28"/>
    <mergeCell ref="AW26:AW28"/>
    <mergeCell ref="AC31:AC34"/>
    <mergeCell ref="AU31:AU34"/>
    <mergeCell ref="AW31:AW34"/>
    <mergeCell ref="AY31:AY34"/>
    <mergeCell ref="BE31:BE34"/>
    <mergeCell ref="BG31:BG34"/>
    <mergeCell ref="BI31:BI34"/>
    <mergeCell ref="AJ29:AJ30"/>
    <mergeCell ref="AJ31:AJ34"/>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X6:AI6"/>
    <mergeCell ref="Q4:R4"/>
    <mergeCell ref="Q5:R5"/>
    <mergeCell ref="AF7:AF8"/>
    <mergeCell ref="AG7:AG8"/>
    <mergeCell ref="AH7:AH8"/>
    <mergeCell ref="AI7:AI8"/>
    <mergeCell ref="AK7:AK8"/>
    <mergeCell ref="T5:AE5"/>
    <mergeCell ref="AL7:AL8"/>
    <mergeCell ref="W7:W8"/>
    <mergeCell ref="X7:X8"/>
    <mergeCell ref="Y7:Y8"/>
    <mergeCell ref="Z7:Z8"/>
    <mergeCell ref="AA7:AA8"/>
    <mergeCell ref="AB7:AB8"/>
    <mergeCell ref="AC7:AC8"/>
    <mergeCell ref="AD7:AD8"/>
    <mergeCell ref="AE7:AE8"/>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3330" priority="391" operator="equal">
      <formula>#REF!</formula>
    </cfRule>
    <cfRule type="cellIs" dxfId="13329" priority="392" operator="greaterThan">
      <formula>1</formula>
    </cfRule>
    <cfRule type="cellIs" dxfId="13328" priority="393" operator="equal">
      <formula>100%</formula>
    </cfRule>
    <cfRule type="cellIs" dxfId="13327" priority="394" operator="between">
      <formula>80%</formula>
      <formula>99%</formula>
    </cfRule>
    <cfRule type="cellIs" dxfId="13326" priority="395" operator="between">
      <formula>0%</formula>
      <formula>79%</formula>
    </cfRule>
  </conditionalFormatting>
  <conditionalFormatting sqref="CE51:CL52 CE124:CL131 CE43:CL48">
    <cfRule type="cellIs" dxfId="13325" priority="367" operator="equal">
      <formula>#REF!</formula>
    </cfRule>
    <cfRule type="cellIs" dxfId="13324" priority="368" operator="greaterThan">
      <formula>1</formula>
    </cfRule>
    <cfRule type="cellIs" dxfId="13323" priority="369" operator="equal">
      <formula>100%</formula>
    </cfRule>
    <cfRule type="cellIs" dxfId="13322" priority="370" operator="between">
      <formula>80%</formula>
      <formula>99%</formula>
    </cfRule>
    <cfRule type="cellIs" dxfId="13321" priority="371" operator="between">
      <formula>0%</formula>
      <formula>79%</formula>
    </cfRule>
  </conditionalFormatting>
  <conditionalFormatting sqref="CE140 CE20:CL20 CE149:CL151 CE157:CE158 CG157:CG158 CI157:CI158 CK157:CK158 CE77:CL80 CE86:CL94 CE113:CL117 CE188:CL189">
    <cfRule type="cellIs" dxfId="13320" priority="361" operator="equal">
      <formula>#REF!</formula>
    </cfRule>
    <cfRule type="cellIs" dxfId="13319" priority="362" operator="greaterThan">
      <formula>1</formula>
    </cfRule>
    <cfRule type="cellIs" dxfId="13318" priority="363" operator="equal">
      <formula>100%</formula>
    </cfRule>
    <cfRule type="cellIs" dxfId="13317" priority="364" operator="between">
      <formula>80%</formula>
      <formula>99%</formula>
    </cfRule>
    <cfRule type="cellIs" dxfId="13316" priority="365" operator="between">
      <formula>0%</formula>
      <formula>79%</formula>
    </cfRule>
  </conditionalFormatting>
  <conditionalFormatting sqref="CE132:CL132">
    <cfRule type="cellIs" dxfId="13315" priority="349" operator="equal">
      <formula>#REF!</formula>
    </cfRule>
    <cfRule type="cellIs" dxfId="13314" priority="350" operator="greaterThan">
      <formula>1</formula>
    </cfRule>
    <cfRule type="cellIs" dxfId="13313" priority="351" operator="equal">
      <formula>100%</formula>
    </cfRule>
    <cfRule type="cellIs" dxfId="13312" priority="352" operator="between">
      <formula>80%</formula>
      <formula>99%</formula>
    </cfRule>
    <cfRule type="cellIs" dxfId="13311" priority="353" operator="between">
      <formula>0%</formula>
      <formula>79%</formula>
    </cfRule>
  </conditionalFormatting>
  <conditionalFormatting sqref="CE50 CG50 CI50 CK50">
    <cfRule type="cellIs" dxfId="13310" priority="331" operator="equal">
      <formula>#REF!</formula>
    </cfRule>
    <cfRule type="cellIs" dxfId="13309" priority="332" operator="greaterThan">
      <formula>1</formula>
    </cfRule>
    <cfRule type="cellIs" dxfId="13308" priority="333" operator="equal">
      <formula>100%</formula>
    </cfRule>
    <cfRule type="cellIs" dxfId="13307" priority="334" operator="between">
      <formula>80%</formula>
      <formula>99%</formula>
    </cfRule>
    <cfRule type="cellIs" dxfId="13306" priority="335" operator="between">
      <formula>0%</formula>
      <formula>79%</formula>
    </cfRule>
  </conditionalFormatting>
  <conditionalFormatting sqref="CE142:CL148">
    <cfRule type="cellIs" dxfId="13305" priority="325" operator="equal">
      <formula>#REF!</formula>
    </cfRule>
    <cfRule type="cellIs" dxfId="13304" priority="326" operator="greaterThan">
      <formula>1</formula>
    </cfRule>
    <cfRule type="cellIs" dxfId="13303" priority="327" operator="equal">
      <formula>100%</formula>
    </cfRule>
    <cfRule type="cellIs" dxfId="13302" priority="328" operator="between">
      <formula>80%</formula>
      <formula>99%</formula>
    </cfRule>
    <cfRule type="cellIs" dxfId="13301" priority="329" operator="between">
      <formula>0%</formula>
      <formula>79%</formula>
    </cfRule>
  </conditionalFormatting>
  <conditionalFormatting sqref="CE152:CL153 CE154 CG154 CI154 CK154 CE159:CL163 CE155:CL156">
    <cfRule type="cellIs" dxfId="13300" priority="307" operator="equal">
      <formula>#REF!</formula>
    </cfRule>
    <cfRule type="cellIs" dxfId="13299" priority="308" operator="greaterThan">
      <formula>1</formula>
    </cfRule>
    <cfRule type="cellIs" dxfId="13298" priority="309" operator="equal">
      <formula>100%</formula>
    </cfRule>
    <cfRule type="cellIs" dxfId="13297" priority="310" operator="between">
      <formula>80%</formula>
      <formula>99%</formula>
    </cfRule>
    <cfRule type="cellIs" dxfId="13296" priority="311" operator="between">
      <formula>0%</formula>
      <formula>79%</formula>
    </cfRule>
  </conditionalFormatting>
  <conditionalFormatting sqref="CF50">
    <cfRule type="cellIs" dxfId="13295" priority="301" operator="equal">
      <formula>#REF!</formula>
    </cfRule>
    <cfRule type="cellIs" dxfId="13294" priority="302" operator="greaterThan">
      <formula>1</formula>
    </cfRule>
    <cfRule type="cellIs" dxfId="13293" priority="303" operator="equal">
      <formula>100%</formula>
    </cfRule>
    <cfRule type="cellIs" dxfId="13292" priority="304" operator="between">
      <formula>80%</formula>
      <formula>99%</formula>
    </cfRule>
    <cfRule type="cellIs" dxfId="13291" priority="305" operator="between">
      <formula>0%</formula>
      <formula>79%</formula>
    </cfRule>
  </conditionalFormatting>
  <conditionalFormatting sqref="CH50">
    <cfRule type="cellIs" dxfId="13290" priority="295" operator="equal">
      <formula>#REF!</formula>
    </cfRule>
    <cfRule type="cellIs" dxfId="13289" priority="296" operator="greaterThan">
      <formula>1</formula>
    </cfRule>
    <cfRule type="cellIs" dxfId="13288" priority="297" operator="equal">
      <formula>100%</formula>
    </cfRule>
    <cfRule type="cellIs" dxfId="13287" priority="298" operator="between">
      <formula>80%</formula>
      <formula>99%</formula>
    </cfRule>
    <cfRule type="cellIs" dxfId="13286" priority="299" operator="between">
      <formula>0%</formula>
      <formula>79%</formula>
    </cfRule>
  </conditionalFormatting>
  <conditionalFormatting sqref="CJ50">
    <cfRule type="cellIs" dxfId="13285" priority="289" operator="equal">
      <formula>#REF!</formula>
    </cfRule>
    <cfRule type="cellIs" dxfId="13284" priority="290" operator="greaterThan">
      <formula>1</formula>
    </cfRule>
    <cfRule type="cellIs" dxfId="13283" priority="291" operator="equal">
      <formula>100%</formula>
    </cfRule>
    <cfRule type="cellIs" dxfId="13282" priority="292" operator="between">
      <formula>80%</formula>
      <formula>99%</formula>
    </cfRule>
    <cfRule type="cellIs" dxfId="13281" priority="293" operator="between">
      <formula>0%</formula>
      <formula>79%</formula>
    </cfRule>
  </conditionalFormatting>
  <conditionalFormatting sqref="CL50">
    <cfRule type="cellIs" dxfId="13280" priority="283" operator="equal">
      <formula>#REF!</formula>
    </cfRule>
    <cfRule type="cellIs" dxfId="13279" priority="284" operator="greaterThan">
      <formula>1</formula>
    </cfRule>
    <cfRule type="cellIs" dxfId="13278" priority="285" operator="equal">
      <formula>100%</formula>
    </cfRule>
    <cfRule type="cellIs" dxfId="13277" priority="286" operator="between">
      <formula>80%</formula>
      <formula>99%</formula>
    </cfRule>
    <cfRule type="cellIs" dxfId="13276" priority="287" operator="between">
      <formula>0%</formula>
      <formula>79%</formula>
    </cfRule>
  </conditionalFormatting>
  <conditionalFormatting sqref="CE57:CE67 CG57:CG67 CI57:CI67 CK57:CK67">
    <cfRule type="cellIs" dxfId="13275" priority="277" operator="equal">
      <formula>#REF!</formula>
    </cfRule>
    <cfRule type="cellIs" dxfId="13274" priority="278" operator="greaterThan">
      <formula>1</formula>
    </cfRule>
    <cfRule type="cellIs" dxfId="13273" priority="279" operator="equal">
      <formula>100%</formula>
    </cfRule>
    <cfRule type="cellIs" dxfId="13272" priority="280" operator="between">
      <formula>80%</formula>
      <formula>99%</formula>
    </cfRule>
    <cfRule type="cellIs" dxfId="13271" priority="281" operator="between">
      <formula>0%</formula>
      <formula>79%</formula>
    </cfRule>
  </conditionalFormatting>
  <conditionalFormatting sqref="CE69:CE72 CG69:CG72 CI69:CI72 CK69:CK72">
    <cfRule type="cellIs" dxfId="13270" priority="271" operator="equal">
      <formula>#REF!</formula>
    </cfRule>
    <cfRule type="cellIs" dxfId="13269" priority="272" operator="greaterThan">
      <formula>1</formula>
    </cfRule>
    <cfRule type="cellIs" dxfId="13268" priority="273" operator="equal">
      <formula>100%</formula>
    </cfRule>
    <cfRule type="cellIs" dxfId="13267" priority="274" operator="between">
      <formula>80%</formula>
      <formula>99%</formula>
    </cfRule>
    <cfRule type="cellIs" dxfId="13266" priority="275" operator="between">
      <formula>0%</formula>
      <formula>79%</formula>
    </cfRule>
  </conditionalFormatting>
  <conditionalFormatting sqref="CE68 CG68 CI68 CK68">
    <cfRule type="cellIs" dxfId="13265" priority="265" operator="equal">
      <formula>#REF!</formula>
    </cfRule>
    <cfRule type="cellIs" dxfId="13264" priority="266" operator="greaterThan">
      <formula>1</formula>
    </cfRule>
    <cfRule type="cellIs" dxfId="13263" priority="267" operator="equal">
      <formula>100%</formula>
    </cfRule>
    <cfRule type="cellIs" dxfId="13262" priority="268" operator="between">
      <formula>80%</formula>
      <formula>99%</formula>
    </cfRule>
    <cfRule type="cellIs" dxfId="13261" priority="269" operator="between">
      <formula>0%</formula>
      <formula>79%</formula>
    </cfRule>
  </conditionalFormatting>
  <conditionalFormatting sqref="CE74:CL75">
    <cfRule type="cellIs" dxfId="13260" priority="259" operator="equal">
      <formula>#REF!</formula>
    </cfRule>
    <cfRule type="cellIs" dxfId="13259" priority="260" operator="greaterThan">
      <formula>1</formula>
    </cfRule>
    <cfRule type="cellIs" dxfId="13258" priority="261" operator="equal">
      <formula>100%</formula>
    </cfRule>
    <cfRule type="cellIs" dxfId="13257" priority="262" operator="between">
      <formula>80%</formula>
      <formula>99%</formula>
    </cfRule>
    <cfRule type="cellIs" dxfId="13256" priority="263" operator="between">
      <formula>0%</formula>
      <formula>79%</formula>
    </cfRule>
  </conditionalFormatting>
  <conditionalFormatting sqref="CE119:CL120">
    <cfRule type="cellIs" dxfId="13255" priority="247" operator="equal">
      <formula>#REF!</formula>
    </cfRule>
    <cfRule type="cellIs" dxfId="13254" priority="248" operator="greaterThan">
      <formula>1</formula>
    </cfRule>
    <cfRule type="cellIs" dxfId="13253" priority="249" operator="equal">
      <formula>100%</formula>
    </cfRule>
    <cfRule type="cellIs" dxfId="13252" priority="250" operator="between">
      <formula>80%</formula>
      <formula>99%</formula>
    </cfRule>
    <cfRule type="cellIs" dxfId="13251" priority="251" operator="between">
      <formula>0%</formula>
      <formula>79%</formula>
    </cfRule>
  </conditionalFormatting>
  <conditionalFormatting sqref="CE164:CL164">
    <cfRule type="cellIs" dxfId="13250" priority="241" operator="equal">
      <formula>#REF!</formula>
    </cfRule>
    <cfRule type="cellIs" dxfId="13249" priority="242" operator="greaterThan">
      <formula>1</formula>
    </cfRule>
    <cfRule type="cellIs" dxfId="13248" priority="243" operator="equal">
      <formula>100%</formula>
    </cfRule>
    <cfRule type="cellIs" dxfId="13247" priority="244" operator="between">
      <formula>80%</formula>
      <formula>99%</formula>
    </cfRule>
    <cfRule type="cellIs" dxfId="13246" priority="245" operator="between">
      <formula>0%</formula>
      <formula>79%</formula>
    </cfRule>
  </conditionalFormatting>
  <conditionalFormatting sqref="CE166:CL166 CE168:CL168 CE170:CL170">
    <cfRule type="cellIs" dxfId="13245" priority="235" operator="equal">
      <formula>#REF!</formula>
    </cfRule>
    <cfRule type="cellIs" dxfId="13244" priority="236" operator="greaterThan">
      <formula>1</formula>
    </cfRule>
    <cfRule type="cellIs" dxfId="13243" priority="237" operator="equal">
      <formula>100%</formula>
    </cfRule>
    <cfRule type="cellIs" dxfId="13242" priority="238" operator="between">
      <formula>80%</formula>
      <formula>99%</formula>
    </cfRule>
    <cfRule type="cellIs" dxfId="13241" priority="239" operator="between">
      <formula>0%</formula>
      <formula>79%</formula>
    </cfRule>
  </conditionalFormatting>
  <conditionalFormatting sqref="CE17:CL18">
    <cfRule type="cellIs" dxfId="13240" priority="229" operator="equal">
      <formula>#REF!</formula>
    </cfRule>
    <cfRule type="cellIs" dxfId="13239" priority="230" operator="greaterThan">
      <formula>1</formula>
    </cfRule>
    <cfRule type="cellIs" dxfId="13238" priority="231" operator="equal">
      <formula>100%</formula>
    </cfRule>
    <cfRule type="cellIs" dxfId="13237" priority="232" operator="between">
      <formula>80%</formula>
      <formula>99%</formula>
    </cfRule>
    <cfRule type="cellIs" dxfId="13236" priority="233" operator="between">
      <formula>0%</formula>
      <formula>79%</formula>
    </cfRule>
  </conditionalFormatting>
  <conditionalFormatting sqref="CE42:CL42">
    <cfRule type="cellIs" dxfId="13235" priority="217" operator="equal">
      <formula>#REF!</formula>
    </cfRule>
    <cfRule type="cellIs" dxfId="13234" priority="218" operator="greaterThan">
      <formula>1</formula>
    </cfRule>
    <cfRule type="cellIs" dxfId="13233" priority="219" operator="equal">
      <formula>100%</formula>
    </cfRule>
    <cfRule type="cellIs" dxfId="13232" priority="220" operator="between">
      <formula>80%</formula>
      <formula>99%</formula>
    </cfRule>
    <cfRule type="cellIs" dxfId="13231" priority="221" operator="between">
      <formula>0%</formula>
      <formula>79%</formula>
    </cfRule>
  </conditionalFormatting>
  <conditionalFormatting sqref="CE49:CL49">
    <cfRule type="cellIs" dxfId="13230" priority="211" operator="equal">
      <formula>#REF!</formula>
    </cfRule>
    <cfRule type="cellIs" dxfId="13229" priority="212" operator="greaterThan">
      <formula>1</formula>
    </cfRule>
    <cfRule type="cellIs" dxfId="13228" priority="213" operator="equal">
      <formula>100%</formula>
    </cfRule>
    <cfRule type="cellIs" dxfId="13227" priority="214" operator="between">
      <formula>80%</formula>
      <formula>99%</formula>
    </cfRule>
    <cfRule type="cellIs" dxfId="13226" priority="215" operator="between">
      <formula>0%</formula>
      <formula>79%</formula>
    </cfRule>
  </conditionalFormatting>
  <conditionalFormatting sqref="CE133:CL133">
    <cfRule type="cellIs" dxfId="13225" priority="205" operator="equal">
      <formula>#REF!</formula>
    </cfRule>
    <cfRule type="cellIs" dxfId="13224" priority="206" operator="greaterThan">
      <formula>1</formula>
    </cfRule>
    <cfRule type="cellIs" dxfId="13223" priority="207" operator="equal">
      <formula>100%</formula>
    </cfRule>
    <cfRule type="cellIs" dxfId="13222" priority="208" operator="between">
      <formula>80%</formula>
      <formula>99%</formula>
    </cfRule>
    <cfRule type="cellIs" dxfId="13221" priority="209" operator="between">
      <formula>0%</formula>
      <formula>79%</formula>
    </cfRule>
  </conditionalFormatting>
  <conditionalFormatting sqref="CE141:CL141">
    <cfRule type="cellIs" dxfId="13220" priority="199" operator="equal">
      <formula>#REF!</formula>
    </cfRule>
    <cfRule type="cellIs" dxfId="13219" priority="200" operator="greaterThan">
      <formula>1</formula>
    </cfRule>
    <cfRule type="cellIs" dxfId="13218" priority="201" operator="equal">
      <formula>100%</formula>
    </cfRule>
    <cfRule type="cellIs" dxfId="13217" priority="202" operator="between">
      <formula>80%</formula>
      <formula>99%</formula>
    </cfRule>
    <cfRule type="cellIs" dxfId="13216" priority="203" operator="between">
      <formula>0%</formula>
      <formula>79%</formula>
    </cfRule>
  </conditionalFormatting>
  <conditionalFormatting sqref="CE171:CL171">
    <cfRule type="cellIs" dxfId="13215" priority="187" operator="equal">
      <formula>#REF!</formula>
    </cfRule>
    <cfRule type="cellIs" dxfId="13214" priority="188" operator="greaterThan">
      <formula>1</formula>
    </cfRule>
    <cfRule type="cellIs" dxfId="13213" priority="189" operator="equal">
      <formula>100%</formula>
    </cfRule>
    <cfRule type="cellIs" dxfId="13212" priority="190" operator="between">
      <formula>80%</formula>
      <formula>99%</formula>
    </cfRule>
    <cfRule type="cellIs" dxfId="13211" priority="191" operator="between">
      <formula>0%</formula>
      <formula>79%</formula>
    </cfRule>
  </conditionalFormatting>
  <conditionalFormatting sqref="CE172:CL172">
    <cfRule type="cellIs" dxfId="13210" priority="181" operator="equal">
      <formula>#REF!</formula>
    </cfRule>
    <cfRule type="cellIs" dxfId="13209" priority="182" operator="greaterThan">
      <formula>1</formula>
    </cfRule>
    <cfRule type="cellIs" dxfId="13208" priority="183" operator="equal">
      <formula>100%</formula>
    </cfRule>
    <cfRule type="cellIs" dxfId="13207" priority="184" operator="between">
      <formula>80%</formula>
      <formula>99%</formula>
    </cfRule>
    <cfRule type="cellIs" dxfId="13206" priority="185" operator="between">
      <formula>0%</formula>
      <formula>79%</formula>
    </cfRule>
  </conditionalFormatting>
  <conditionalFormatting sqref="CE173:CL173">
    <cfRule type="cellIs" dxfId="13205" priority="175" operator="equal">
      <formula>#REF!</formula>
    </cfRule>
    <cfRule type="cellIs" dxfId="13204" priority="176" operator="greaterThan">
      <formula>1</formula>
    </cfRule>
    <cfRule type="cellIs" dxfId="13203" priority="177" operator="equal">
      <formula>100%</formula>
    </cfRule>
    <cfRule type="cellIs" dxfId="13202" priority="178" operator="between">
      <formula>80%</formula>
      <formula>99%</formula>
    </cfRule>
    <cfRule type="cellIs" dxfId="13201" priority="179" operator="between">
      <formula>0%</formula>
      <formula>79%</formula>
    </cfRule>
  </conditionalFormatting>
  <conditionalFormatting sqref="CE174:CL174">
    <cfRule type="cellIs" dxfId="13200" priority="169" operator="equal">
      <formula>#REF!</formula>
    </cfRule>
    <cfRule type="cellIs" dxfId="13199" priority="170" operator="greaterThan">
      <formula>1</formula>
    </cfRule>
    <cfRule type="cellIs" dxfId="13198" priority="171" operator="equal">
      <formula>100%</formula>
    </cfRule>
    <cfRule type="cellIs" dxfId="13197" priority="172" operator="between">
      <formula>80%</formula>
      <formula>99%</formula>
    </cfRule>
    <cfRule type="cellIs" dxfId="13196" priority="173" operator="between">
      <formula>0%</formula>
      <formula>79%</formula>
    </cfRule>
  </conditionalFormatting>
  <conditionalFormatting sqref="CE179:CL179">
    <cfRule type="cellIs" dxfId="13195" priority="163" operator="equal">
      <formula>#REF!</formula>
    </cfRule>
    <cfRule type="cellIs" dxfId="13194" priority="164" operator="greaterThan">
      <formula>1</formula>
    </cfRule>
    <cfRule type="cellIs" dxfId="13193" priority="165" operator="equal">
      <formula>100%</formula>
    </cfRule>
    <cfRule type="cellIs" dxfId="13192" priority="166" operator="between">
      <formula>80%</formula>
      <formula>99%</formula>
    </cfRule>
    <cfRule type="cellIs" dxfId="13191" priority="167" operator="between">
      <formula>0%</formula>
      <formula>79%</formula>
    </cfRule>
  </conditionalFormatting>
  <conditionalFormatting sqref="CE177:CL177">
    <cfRule type="cellIs" dxfId="13190" priority="157" operator="equal">
      <formula>#REF!</formula>
    </cfRule>
    <cfRule type="cellIs" dxfId="13189" priority="158" operator="greaterThan">
      <formula>1</formula>
    </cfRule>
    <cfRule type="cellIs" dxfId="13188" priority="159" operator="equal">
      <formula>100%</formula>
    </cfRule>
    <cfRule type="cellIs" dxfId="13187" priority="160" operator="between">
      <formula>80%</formula>
      <formula>99%</formula>
    </cfRule>
    <cfRule type="cellIs" dxfId="13186" priority="161" operator="between">
      <formula>0%</formula>
      <formula>79%</formula>
    </cfRule>
  </conditionalFormatting>
  <conditionalFormatting sqref="CE178:CL178">
    <cfRule type="cellIs" dxfId="13185" priority="151" operator="equal">
      <formula>#REF!</formula>
    </cfRule>
    <cfRule type="cellIs" dxfId="13184" priority="152" operator="greaterThan">
      <formula>1</formula>
    </cfRule>
    <cfRule type="cellIs" dxfId="13183" priority="153" operator="equal">
      <formula>100%</formula>
    </cfRule>
    <cfRule type="cellIs" dxfId="13182" priority="154" operator="between">
      <formula>80%</formula>
      <formula>99%</formula>
    </cfRule>
    <cfRule type="cellIs" dxfId="13181" priority="155" operator="between">
      <formula>0%</formula>
      <formula>79%</formula>
    </cfRule>
  </conditionalFormatting>
  <conditionalFormatting sqref="CF140:CL140">
    <cfRule type="cellIs" dxfId="13180" priority="145" operator="equal">
      <formula>#REF!</formula>
    </cfRule>
    <cfRule type="cellIs" dxfId="13179" priority="146" operator="greaterThan">
      <formula>1</formula>
    </cfRule>
    <cfRule type="cellIs" dxfId="13178" priority="147" operator="equal">
      <formula>100%</formula>
    </cfRule>
    <cfRule type="cellIs" dxfId="13177" priority="148" operator="between">
      <formula>80%</formula>
      <formula>99%</formula>
    </cfRule>
    <cfRule type="cellIs" dxfId="13176" priority="149" operator="between">
      <formula>0%</formula>
      <formula>79%</formula>
    </cfRule>
  </conditionalFormatting>
  <conditionalFormatting sqref="CE165:CL165">
    <cfRule type="cellIs" dxfId="13175" priority="139" operator="equal">
      <formula>#REF!</formula>
    </cfRule>
    <cfRule type="cellIs" dxfId="13174" priority="140" operator="greaterThan">
      <formula>1</formula>
    </cfRule>
    <cfRule type="cellIs" dxfId="13173" priority="141" operator="equal">
      <formula>100%</formula>
    </cfRule>
    <cfRule type="cellIs" dxfId="13172" priority="142" operator="between">
      <formula>80%</formula>
      <formula>99%</formula>
    </cfRule>
    <cfRule type="cellIs" dxfId="13171" priority="143" operator="between">
      <formula>0%</formula>
      <formula>79%</formula>
    </cfRule>
  </conditionalFormatting>
  <conditionalFormatting sqref="CE176:CL176">
    <cfRule type="cellIs" dxfId="13170" priority="133" operator="equal">
      <formula>#REF!</formula>
    </cfRule>
    <cfRule type="cellIs" dxfId="13169" priority="134" operator="greaterThan">
      <formula>1</formula>
    </cfRule>
    <cfRule type="cellIs" dxfId="13168" priority="135" operator="equal">
      <formula>100%</formula>
    </cfRule>
    <cfRule type="cellIs" dxfId="13167" priority="136" operator="between">
      <formula>80%</formula>
      <formula>99%</formula>
    </cfRule>
    <cfRule type="cellIs" dxfId="13166" priority="137" operator="between">
      <formula>0%</formula>
      <formula>79%</formula>
    </cfRule>
  </conditionalFormatting>
  <conditionalFormatting sqref="CE181:CE182 CG181:CG182 CI181:CI182 CK181:CK182">
    <cfRule type="cellIs" dxfId="13165" priority="127" operator="equal">
      <formula>#REF!</formula>
    </cfRule>
    <cfRule type="cellIs" dxfId="13164" priority="128" operator="greaterThan">
      <formula>1</formula>
    </cfRule>
    <cfRule type="cellIs" dxfId="13163" priority="129" operator="equal">
      <formula>100%</formula>
    </cfRule>
    <cfRule type="cellIs" dxfId="13162" priority="130" operator="between">
      <formula>80%</formula>
      <formula>99%</formula>
    </cfRule>
    <cfRule type="cellIs" dxfId="13161" priority="131" operator="between">
      <formula>0%</formula>
      <formula>79%</formula>
    </cfRule>
  </conditionalFormatting>
  <conditionalFormatting sqref="CE180 CG180 CI180 CK180">
    <cfRule type="cellIs" dxfId="13160" priority="121" operator="equal">
      <formula>#REF!</formula>
    </cfRule>
    <cfRule type="cellIs" dxfId="13159" priority="122" operator="greaterThan">
      <formula>1</formula>
    </cfRule>
    <cfRule type="cellIs" dxfId="13158" priority="123" operator="equal">
      <formula>100%</formula>
    </cfRule>
    <cfRule type="cellIs" dxfId="13157" priority="124" operator="between">
      <formula>80%</formula>
      <formula>99%</formula>
    </cfRule>
    <cfRule type="cellIs" dxfId="13156" priority="125" operator="between">
      <formula>0%</formula>
      <formula>79%</formula>
    </cfRule>
  </conditionalFormatting>
  <conditionalFormatting sqref="CF180">
    <cfRule type="cellIs" dxfId="13155" priority="115" operator="equal">
      <formula>#REF!</formula>
    </cfRule>
    <cfRule type="cellIs" dxfId="13154" priority="116" operator="greaterThan">
      <formula>1</formula>
    </cfRule>
    <cfRule type="cellIs" dxfId="13153" priority="117" operator="equal">
      <formula>100%</formula>
    </cfRule>
    <cfRule type="cellIs" dxfId="13152" priority="118" operator="between">
      <formula>80%</formula>
      <formula>99%</formula>
    </cfRule>
    <cfRule type="cellIs" dxfId="13151" priority="119" operator="between">
      <formula>0%</formula>
      <formula>79%</formula>
    </cfRule>
  </conditionalFormatting>
  <conditionalFormatting sqref="CF181:CF182">
    <cfRule type="cellIs" dxfId="13150" priority="109" operator="equal">
      <formula>#REF!</formula>
    </cfRule>
    <cfRule type="cellIs" dxfId="13149" priority="110" operator="greaterThan">
      <formula>1</formula>
    </cfRule>
    <cfRule type="cellIs" dxfId="13148" priority="111" operator="equal">
      <formula>100%</formula>
    </cfRule>
    <cfRule type="cellIs" dxfId="13147" priority="112" operator="between">
      <formula>80%</formula>
      <formula>99%</formula>
    </cfRule>
    <cfRule type="cellIs" dxfId="13146" priority="113" operator="between">
      <formula>0%</formula>
      <formula>79%</formula>
    </cfRule>
  </conditionalFormatting>
  <conditionalFormatting sqref="CH180:CH182">
    <cfRule type="cellIs" dxfId="13145" priority="103" operator="equal">
      <formula>#REF!</formula>
    </cfRule>
    <cfRule type="cellIs" dxfId="13144" priority="104" operator="greaterThan">
      <formula>1</formula>
    </cfRule>
    <cfRule type="cellIs" dxfId="13143" priority="105" operator="equal">
      <formula>100%</formula>
    </cfRule>
    <cfRule type="cellIs" dxfId="13142" priority="106" operator="between">
      <formula>80%</formula>
      <formula>99%</formula>
    </cfRule>
    <cfRule type="cellIs" dxfId="13141" priority="107" operator="between">
      <formula>0%</formula>
      <formula>79%</formula>
    </cfRule>
  </conditionalFormatting>
  <conditionalFormatting sqref="CJ180:CJ182">
    <cfRule type="cellIs" dxfId="13140" priority="97" operator="equal">
      <formula>#REF!</formula>
    </cfRule>
    <cfRule type="cellIs" dxfId="13139" priority="98" operator="greaterThan">
      <formula>1</formula>
    </cfRule>
    <cfRule type="cellIs" dxfId="13138" priority="99" operator="equal">
      <formula>100%</formula>
    </cfRule>
    <cfRule type="cellIs" dxfId="13137" priority="100" operator="between">
      <formula>80%</formula>
      <formula>99%</formula>
    </cfRule>
    <cfRule type="cellIs" dxfId="13136" priority="101" operator="between">
      <formula>0%</formula>
      <formula>79%</formula>
    </cfRule>
  </conditionalFormatting>
  <conditionalFormatting sqref="CL180:CL182">
    <cfRule type="cellIs" dxfId="13135" priority="91" operator="equal">
      <formula>#REF!</formula>
    </cfRule>
    <cfRule type="cellIs" dxfId="13134" priority="92" operator="greaterThan">
      <formula>1</formula>
    </cfRule>
    <cfRule type="cellIs" dxfId="13133" priority="93" operator="equal">
      <formula>100%</formula>
    </cfRule>
    <cfRule type="cellIs" dxfId="13132" priority="94" operator="between">
      <formula>80%</formula>
      <formula>99%</formula>
    </cfRule>
    <cfRule type="cellIs" dxfId="13131" priority="95" operator="between">
      <formula>0%</formula>
      <formula>79%</formula>
    </cfRule>
  </conditionalFormatting>
  <conditionalFormatting sqref="CE167:CL167">
    <cfRule type="cellIs" dxfId="13130" priority="85" operator="equal">
      <formula>#REF!</formula>
    </cfRule>
    <cfRule type="cellIs" dxfId="13129" priority="86" operator="greaterThan">
      <formula>1</formula>
    </cfRule>
    <cfRule type="cellIs" dxfId="13128" priority="87" operator="equal">
      <formula>100%</formula>
    </cfRule>
    <cfRule type="cellIs" dxfId="13127" priority="88" operator="between">
      <formula>80%</formula>
      <formula>99%</formula>
    </cfRule>
    <cfRule type="cellIs" dxfId="13126" priority="89" operator="between">
      <formula>0%</formula>
      <formula>79%</formula>
    </cfRule>
  </conditionalFormatting>
  <conditionalFormatting sqref="CE169:CL169">
    <cfRule type="cellIs" dxfId="13125" priority="79" operator="equal">
      <formula>#REF!</formula>
    </cfRule>
    <cfRule type="cellIs" dxfId="13124" priority="80" operator="greaterThan">
      <formula>1</formula>
    </cfRule>
    <cfRule type="cellIs" dxfId="13123" priority="81" operator="equal">
      <formula>100%</formula>
    </cfRule>
    <cfRule type="cellIs" dxfId="13122" priority="82" operator="between">
      <formula>80%</formula>
      <formula>99%</formula>
    </cfRule>
    <cfRule type="cellIs" dxfId="13121" priority="83" operator="between">
      <formula>0%</formula>
      <formula>79%</formula>
    </cfRule>
  </conditionalFormatting>
  <conditionalFormatting sqref="CE183:CL183">
    <cfRule type="cellIs" dxfId="13120" priority="73" operator="equal">
      <formula>#REF!</formula>
    </cfRule>
    <cfRule type="cellIs" dxfId="13119" priority="74" operator="greaterThan">
      <formula>1</formula>
    </cfRule>
    <cfRule type="cellIs" dxfId="13118" priority="75" operator="equal">
      <formula>100%</formula>
    </cfRule>
    <cfRule type="cellIs" dxfId="13117" priority="76" operator="between">
      <formula>80%</formula>
      <formula>99%</formula>
    </cfRule>
    <cfRule type="cellIs" dxfId="13116" priority="77" operator="between">
      <formula>0%</formula>
      <formula>79%</formula>
    </cfRule>
  </conditionalFormatting>
  <conditionalFormatting sqref="CE185:CL185">
    <cfRule type="cellIs" dxfId="13115" priority="67" operator="equal">
      <formula>#REF!</formula>
    </cfRule>
    <cfRule type="cellIs" dxfId="13114" priority="68" operator="greaterThan">
      <formula>1</formula>
    </cfRule>
    <cfRule type="cellIs" dxfId="13113" priority="69" operator="equal">
      <formula>100%</formula>
    </cfRule>
    <cfRule type="cellIs" dxfId="13112" priority="70" operator="between">
      <formula>80%</formula>
      <formula>99%</formula>
    </cfRule>
    <cfRule type="cellIs" dxfId="13111" priority="71" operator="between">
      <formula>0%</formula>
      <formula>79%</formula>
    </cfRule>
  </conditionalFormatting>
  <conditionalFormatting sqref="CE186:CL186">
    <cfRule type="cellIs" dxfId="13110" priority="49" operator="equal">
      <formula>#REF!</formula>
    </cfRule>
    <cfRule type="cellIs" dxfId="13109" priority="50" operator="greaterThan">
      <formula>1</formula>
    </cfRule>
    <cfRule type="cellIs" dxfId="13108" priority="51" operator="equal">
      <formula>100%</formula>
    </cfRule>
    <cfRule type="cellIs" dxfId="13107" priority="52" operator="between">
      <formula>80%</formula>
      <formula>99%</formula>
    </cfRule>
    <cfRule type="cellIs" dxfId="13106" priority="53" operator="between">
      <formula>0%</formula>
      <formula>79%</formula>
    </cfRule>
  </conditionalFormatting>
  <conditionalFormatting sqref="CE184:CL184">
    <cfRule type="cellIs" dxfId="13105" priority="55" operator="equal">
      <formula>#REF!</formula>
    </cfRule>
    <cfRule type="cellIs" dxfId="13104" priority="56" operator="greaterThan">
      <formula>1</formula>
    </cfRule>
    <cfRule type="cellIs" dxfId="13103" priority="57" operator="equal">
      <formula>100%</formula>
    </cfRule>
    <cfRule type="cellIs" dxfId="13102" priority="58" operator="between">
      <formula>80%</formula>
      <formula>99%</formula>
    </cfRule>
    <cfRule type="cellIs" dxfId="13101" priority="59" operator="between">
      <formula>0%</formula>
      <formula>79%</formula>
    </cfRule>
  </conditionalFormatting>
  <conditionalFormatting sqref="CE187:CL187">
    <cfRule type="cellIs" dxfId="13100" priority="43" operator="equal">
      <formula>#REF!</formula>
    </cfRule>
    <cfRule type="cellIs" dxfId="13099" priority="44" operator="greaterThan">
      <formula>1</formula>
    </cfRule>
    <cfRule type="cellIs" dxfId="13098" priority="45" operator="equal">
      <formula>100%</formula>
    </cfRule>
    <cfRule type="cellIs" dxfId="13097" priority="46" operator="between">
      <formula>80%</formula>
      <formula>99%</formula>
    </cfRule>
    <cfRule type="cellIs" dxfId="13096" priority="47" operator="between">
      <formula>0%</formula>
      <formula>79%</formula>
    </cfRule>
  </conditionalFormatting>
  <conditionalFormatting sqref="CE37:CL37">
    <cfRule type="cellIs" dxfId="13095" priority="7" operator="equal">
      <formula>#REF!</formula>
    </cfRule>
    <cfRule type="cellIs" dxfId="13094" priority="8" operator="greaterThan">
      <formula>1</formula>
    </cfRule>
    <cfRule type="cellIs" dxfId="13093" priority="9" operator="equal">
      <formula>100%</formula>
    </cfRule>
    <cfRule type="cellIs" dxfId="13092" priority="10" operator="between">
      <formula>80%</formula>
      <formula>99%</formula>
    </cfRule>
    <cfRule type="cellIs" dxfId="13091" priority="11" operator="between">
      <formula>0%</formula>
      <formula>79%</formula>
    </cfRule>
  </conditionalFormatting>
  <conditionalFormatting sqref="CE175:CL175">
    <cfRule type="cellIs" dxfId="13090" priority="1" operator="equal">
      <formula>#REF!</formula>
    </cfRule>
    <cfRule type="cellIs" dxfId="13089" priority="2" operator="greaterThan">
      <formula>1</formula>
    </cfRule>
    <cfRule type="cellIs" dxfId="13088" priority="3" operator="equal">
      <formula>100%</formula>
    </cfRule>
    <cfRule type="cellIs" dxfId="13087" priority="4" operator="between">
      <formula>80%</formula>
      <formula>99%</formula>
    </cfRule>
    <cfRule type="cellIs" dxfId="13086"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80" zoomScaleNormal="80" workbookViewId="0">
      <pane ySplit="7" topLeftCell="A8" activePane="bottomLeft" state="frozen"/>
      <selection activeCell="I2" sqref="A2:L4"/>
      <selection pane="bottomLeft" activeCell="K15" sqref="K15"/>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1217"/>
      <c r="B1" s="1218"/>
      <c r="C1" s="1223" t="s">
        <v>246</v>
      </c>
      <c r="D1" s="1224"/>
      <c r="E1" s="1224"/>
      <c r="F1" s="1224"/>
      <c r="G1" s="1224"/>
      <c r="H1" s="1225"/>
      <c r="I1" s="1226" t="s">
        <v>247</v>
      </c>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7"/>
      <c r="BT1" s="1356"/>
      <c r="BU1" s="1357"/>
      <c r="BV1" s="1357"/>
      <c r="BW1" s="1357"/>
    </row>
    <row r="2" spans="1:75" ht="24" customHeight="1" x14ac:dyDescent="0.25">
      <c r="A2" s="1219"/>
      <c r="B2" s="1220"/>
      <c r="C2" s="1244" t="s">
        <v>248</v>
      </c>
      <c r="D2" s="1245"/>
      <c r="E2" s="1245"/>
      <c r="F2" s="1245"/>
      <c r="G2" s="1245"/>
      <c r="H2" s="1246"/>
      <c r="I2" s="1247" t="s">
        <v>254</v>
      </c>
      <c r="J2" s="1249" t="s">
        <v>250</v>
      </c>
      <c r="K2" s="1249"/>
      <c r="L2" s="1249"/>
      <c r="M2" s="1249"/>
      <c r="N2" s="1249"/>
      <c r="O2" s="1249"/>
      <c r="P2" s="1249"/>
      <c r="Q2" s="1249"/>
      <c r="R2" s="1249"/>
      <c r="S2" s="1249"/>
      <c r="T2" s="1249"/>
      <c r="U2" s="1249"/>
      <c r="V2" s="1249"/>
      <c r="W2" s="1249"/>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49"/>
      <c r="BJ2" s="1249"/>
      <c r="BK2" s="1249"/>
      <c r="BL2" s="1249"/>
      <c r="BM2" s="1249"/>
      <c r="BN2" s="1249"/>
      <c r="BO2" s="1249"/>
      <c r="BP2" s="1249"/>
      <c r="BQ2" s="1249"/>
      <c r="BR2" s="1249" t="s">
        <v>249</v>
      </c>
      <c r="BS2" s="1251">
        <v>2</v>
      </c>
      <c r="BT2" s="1358"/>
      <c r="BU2" s="1359"/>
      <c r="BV2" s="1359"/>
      <c r="BW2" s="1359"/>
    </row>
    <row r="3" spans="1:75" ht="25.5" customHeight="1" thickBot="1" x14ac:dyDescent="0.3">
      <c r="A3" s="1221"/>
      <c r="B3" s="1222"/>
      <c r="C3" s="1253" t="s">
        <v>242</v>
      </c>
      <c r="D3" s="1254"/>
      <c r="E3" s="1254"/>
      <c r="F3" s="1254"/>
      <c r="G3" s="1254"/>
      <c r="H3" s="1255"/>
      <c r="I3" s="1248"/>
      <c r="J3" s="1250"/>
      <c r="K3" s="1250"/>
      <c r="L3" s="1250"/>
      <c r="M3" s="1250"/>
      <c r="N3" s="1250"/>
      <c r="O3" s="1250"/>
      <c r="P3" s="1250"/>
      <c r="Q3" s="1250"/>
      <c r="R3" s="1250"/>
      <c r="S3" s="1250"/>
      <c r="T3" s="1250"/>
      <c r="U3" s="1250"/>
      <c r="V3" s="1250"/>
      <c r="W3" s="1250"/>
      <c r="X3" s="1250"/>
      <c r="Y3" s="1250"/>
      <c r="Z3" s="1250"/>
      <c r="AA3" s="1250"/>
      <c r="AB3" s="1250"/>
      <c r="AC3" s="1250"/>
      <c r="AD3" s="1250"/>
      <c r="AE3" s="1250"/>
      <c r="AF3" s="1250"/>
      <c r="AG3" s="1250"/>
      <c r="AH3" s="1250"/>
      <c r="AI3" s="1250"/>
      <c r="AJ3" s="1250"/>
      <c r="AK3" s="1250"/>
      <c r="AL3" s="1250"/>
      <c r="AM3" s="1250"/>
      <c r="AN3" s="1250"/>
      <c r="AO3" s="1250"/>
      <c r="AP3" s="1250"/>
      <c r="AQ3" s="1250"/>
      <c r="AR3" s="1250"/>
      <c r="AS3" s="1250"/>
      <c r="AT3" s="1250"/>
      <c r="AU3" s="1250"/>
      <c r="AV3" s="1250"/>
      <c r="AW3" s="1250"/>
      <c r="AX3" s="1250"/>
      <c r="AY3" s="1250"/>
      <c r="AZ3" s="1250"/>
      <c r="BA3" s="1250"/>
      <c r="BB3" s="1250"/>
      <c r="BC3" s="1250"/>
      <c r="BD3" s="1250"/>
      <c r="BE3" s="1250"/>
      <c r="BF3" s="1250"/>
      <c r="BG3" s="1250"/>
      <c r="BH3" s="1250"/>
      <c r="BI3" s="1250"/>
      <c r="BJ3" s="1250"/>
      <c r="BK3" s="1250"/>
      <c r="BL3" s="1250"/>
      <c r="BM3" s="1250"/>
      <c r="BN3" s="1250"/>
      <c r="BO3" s="1250"/>
      <c r="BP3" s="1250"/>
      <c r="BQ3" s="1250"/>
      <c r="BR3" s="1250"/>
      <c r="BS3" s="1252"/>
      <c r="BT3" s="1360"/>
      <c r="BU3" s="1361"/>
      <c r="BV3" s="1361"/>
      <c r="BW3" s="1361"/>
    </row>
    <row r="4" spans="1:75" ht="15.75" x14ac:dyDescent="0.25">
      <c r="E4" s="58"/>
      <c r="F4" s="58"/>
      <c r="G4" s="58"/>
      <c r="H4" s="58"/>
      <c r="I4" s="58"/>
      <c r="J4" s="58"/>
      <c r="K4" s="58"/>
      <c r="L4" s="58"/>
      <c r="M4" s="58"/>
      <c r="N4" s="58"/>
      <c r="O4" s="58"/>
      <c r="P4" s="58"/>
    </row>
    <row r="5" spans="1:75" s="77" customFormat="1" ht="13.5" thickBot="1" x14ac:dyDescent="0.25">
      <c r="A5" s="133" t="s">
        <v>346</v>
      </c>
      <c r="B5" s="133"/>
      <c r="C5" s="22"/>
      <c r="D5" s="22"/>
      <c r="E5" s="1234"/>
      <c r="F5" s="1234"/>
      <c r="G5" s="1234"/>
      <c r="H5" s="1234"/>
      <c r="I5" s="1234"/>
      <c r="J5" s="1234"/>
      <c r="K5" s="1234"/>
      <c r="L5" s="1234"/>
      <c r="M5" s="1234"/>
      <c r="N5" s="1234"/>
      <c r="O5" s="1234"/>
      <c r="P5" s="1234"/>
      <c r="Q5" s="22"/>
      <c r="R5" s="134"/>
      <c r="S5" s="22"/>
      <c r="T5" s="22"/>
      <c r="U5" s="22"/>
      <c r="V5" s="22"/>
      <c r="W5" s="22"/>
      <c r="X5" s="22"/>
      <c r="Y5" s="22"/>
      <c r="Z5" s="22"/>
      <c r="AA5" s="22"/>
    </row>
    <row r="6" spans="1:75" s="77" customFormat="1" ht="13.5" thickBot="1" x14ac:dyDescent="0.25">
      <c r="A6" s="22"/>
      <c r="B6" s="22"/>
      <c r="C6" s="22"/>
      <c r="D6" s="22"/>
      <c r="E6" s="22"/>
      <c r="F6" s="22"/>
      <c r="G6" s="22"/>
      <c r="H6" s="22"/>
      <c r="I6" s="22"/>
      <c r="J6" s="135"/>
      <c r="K6" s="22"/>
      <c r="L6" s="22"/>
      <c r="M6" s="22"/>
      <c r="N6" s="22"/>
      <c r="O6" s="22"/>
      <c r="P6" s="22"/>
      <c r="Q6" s="134"/>
      <c r="R6" s="22"/>
      <c r="S6" s="22"/>
      <c r="T6" s="22"/>
      <c r="U6" s="22"/>
      <c r="V6" s="22"/>
      <c r="W6" s="22"/>
      <c r="X6" s="22"/>
      <c r="Y6" s="22"/>
      <c r="Z6" s="22"/>
      <c r="AA6" s="22"/>
      <c r="AB6" s="1228" t="s">
        <v>190</v>
      </c>
      <c r="AC6" s="1229"/>
      <c r="AD6" s="1229"/>
      <c r="AE6" s="1229"/>
      <c r="AF6" s="1229"/>
      <c r="AG6" s="1229"/>
      <c r="AH6" s="1229"/>
      <c r="AI6" s="1229"/>
      <c r="AJ6" s="1229"/>
      <c r="AK6" s="1230"/>
      <c r="AL6" s="1231" t="s">
        <v>192</v>
      </c>
      <c r="AM6" s="1232"/>
      <c r="AN6" s="1232"/>
      <c r="AO6" s="1232"/>
      <c r="AP6" s="1232"/>
      <c r="AQ6" s="1232"/>
      <c r="AR6" s="1232"/>
      <c r="AS6" s="1232"/>
      <c r="AT6" s="1232"/>
      <c r="AU6" s="1233"/>
      <c r="AV6" s="1228" t="s">
        <v>191</v>
      </c>
      <c r="AW6" s="1229"/>
      <c r="AX6" s="1229"/>
      <c r="AY6" s="1229"/>
      <c r="AZ6" s="1229"/>
      <c r="BA6" s="1229"/>
      <c r="BB6" s="1229"/>
      <c r="BC6" s="1229"/>
      <c r="BD6" s="1229"/>
      <c r="BE6" s="1230"/>
      <c r="BF6" s="1231" t="s">
        <v>193</v>
      </c>
      <c r="BG6" s="1232"/>
      <c r="BH6" s="1232"/>
      <c r="BI6" s="1232"/>
      <c r="BJ6" s="1232"/>
      <c r="BK6" s="1232"/>
      <c r="BL6" s="1232"/>
      <c r="BM6" s="1232"/>
      <c r="BN6" s="1232"/>
      <c r="BO6" s="1233"/>
      <c r="BP6" s="1235" t="s">
        <v>1147</v>
      </c>
      <c r="BQ6" s="1236"/>
      <c r="BR6" s="1236"/>
      <c r="BS6" s="1236"/>
      <c r="BT6" s="1236"/>
      <c r="BU6" s="1236"/>
      <c r="BV6" s="1236"/>
      <c r="BW6" s="1237"/>
    </row>
    <row r="7" spans="1:75" s="161" customFormat="1" ht="50.25" customHeight="1" x14ac:dyDescent="0.2">
      <c r="A7" s="136" t="s">
        <v>30</v>
      </c>
      <c r="B7" s="137" t="s">
        <v>31</v>
      </c>
      <c r="C7" s="137" t="s">
        <v>255</v>
      </c>
      <c r="D7" s="137" t="s">
        <v>57</v>
      </c>
      <c r="E7" s="137" t="s">
        <v>257</v>
      </c>
      <c r="F7" s="137" t="s">
        <v>256</v>
      </c>
      <c r="G7" s="137" t="s">
        <v>258</v>
      </c>
      <c r="H7" s="137" t="s">
        <v>32</v>
      </c>
      <c r="I7" s="137" t="s">
        <v>49</v>
      </c>
      <c r="J7" s="137" t="s">
        <v>35</v>
      </c>
      <c r="K7" s="137" t="s">
        <v>8</v>
      </c>
      <c r="L7" s="137" t="s">
        <v>33</v>
      </c>
      <c r="M7" s="137" t="s">
        <v>50</v>
      </c>
      <c r="N7" s="137" t="s">
        <v>151</v>
      </c>
      <c r="O7" s="137" t="s">
        <v>5</v>
      </c>
      <c r="P7" s="137" t="s">
        <v>37</v>
      </c>
      <c r="Q7" s="137" t="s">
        <v>36</v>
      </c>
      <c r="R7" s="137" t="s">
        <v>38</v>
      </c>
      <c r="S7" s="137" t="s">
        <v>39</v>
      </c>
      <c r="T7" s="137" t="s">
        <v>6</v>
      </c>
      <c r="U7" s="137" t="s">
        <v>1253</v>
      </c>
      <c r="V7" s="137" t="s">
        <v>0</v>
      </c>
      <c r="W7" s="137" t="s">
        <v>34</v>
      </c>
      <c r="X7" s="137" t="s">
        <v>8</v>
      </c>
      <c r="Y7" s="138" t="s">
        <v>188</v>
      </c>
      <c r="Z7" s="138" t="s">
        <v>151</v>
      </c>
      <c r="AA7" s="139" t="s">
        <v>9</v>
      </c>
      <c r="AB7" s="140" t="s">
        <v>8</v>
      </c>
      <c r="AC7" s="140" t="s">
        <v>50</v>
      </c>
      <c r="AD7" s="140" t="s">
        <v>151</v>
      </c>
      <c r="AE7" s="140" t="s">
        <v>8</v>
      </c>
      <c r="AF7" s="140" t="s">
        <v>151</v>
      </c>
      <c r="AG7" s="140" t="s">
        <v>7</v>
      </c>
      <c r="AH7" s="140" t="s">
        <v>10</v>
      </c>
      <c r="AI7" s="140" t="s">
        <v>7</v>
      </c>
      <c r="AJ7" s="140" t="s">
        <v>10</v>
      </c>
      <c r="AK7" s="140" t="s">
        <v>189</v>
      </c>
      <c r="AL7" s="137" t="s">
        <v>8</v>
      </c>
      <c r="AM7" s="137" t="s">
        <v>50</v>
      </c>
      <c r="AN7" s="137" t="s">
        <v>151</v>
      </c>
      <c r="AO7" s="137" t="s">
        <v>8</v>
      </c>
      <c r="AP7" s="137" t="s">
        <v>151</v>
      </c>
      <c r="AQ7" s="137" t="s">
        <v>7</v>
      </c>
      <c r="AR7" s="137" t="s">
        <v>10</v>
      </c>
      <c r="AS7" s="137" t="s">
        <v>7</v>
      </c>
      <c r="AT7" s="137" t="s">
        <v>10</v>
      </c>
      <c r="AU7" s="137" t="s">
        <v>189</v>
      </c>
      <c r="AV7" s="140" t="s">
        <v>8</v>
      </c>
      <c r="AW7" s="140" t="s">
        <v>50</v>
      </c>
      <c r="AX7" s="140" t="s">
        <v>151</v>
      </c>
      <c r="AY7" s="140" t="s">
        <v>8</v>
      </c>
      <c r="AZ7" s="140" t="s">
        <v>151</v>
      </c>
      <c r="BA7" s="140" t="s">
        <v>7</v>
      </c>
      <c r="BB7" s="140" t="s">
        <v>10</v>
      </c>
      <c r="BC7" s="140" t="s">
        <v>7</v>
      </c>
      <c r="BD7" s="140" t="s">
        <v>10</v>
      </c>
      <c r="BE7" s="140" t="s">
        <v>189</v>
      </c>
      <c r="BF7" s="137" t="s">
        <v>8</v>
      </c>
      <c r="BG7" s="137" t="s">
        <v>50</v>
      </c>
      <c r="BH7" s="137" t="s">
        <v>151</v>
      </c>
      <c r="BI7" s="137" t="s">
        <v>8</v>
      </c>
      <c r="BJ7" s="137" t="s">
        <v>151</v>
      </c>
      <c r="BK7" s="137" t="s">
        <v>7</v>
      </c>
      <c r="BL7" s="137" t="s">
        <v>10</v>
      </c>
      <c r="BM7" s="137" t="s">
        <v>7</v>
      </c>
      <c r="BN7" s="137" t="s">
        <v>10</v>
      </c>
      <c r="BO7" s="137" t="s">
        <v>189</v>
      </c>
      <c r="BP7" s="141" t="s">
        <v>7</v>
      </c>
      <c r="BQ7" s="141" t="s">
        <v>10</v>
      </c>
      <c r="BR7" s="141" t="s">
        <v>7</v>
      </c>
      <c r="BS7" s="141" t="s">
        <v>10</v>
      </c>
      <c r="BT7" s="141" t="s">
        <v>7</v>
      </c>
      <c r="BU7" s="141" t="s">
        <v>10</v>
      </c>
      <c r="BV7" s="141" t="s">
        <v>7</v>
      </c>
      <c r="BW7" s="141" t="s">
        <v>10</v>
      </c>
    </row>
    <row r="8" spans="1:75" s="77" customFormat="1" ht="51" x14ac:dyDescent="0.2">
      <c r="A8" s="72">
        <v>11900</v>
      </c>
      <c r="B8" s="94" t="s">
        <v>125</v>
      </c>
      <c r="C8" s="94" t="s">
        <v>330</v>
      </c>
      <c r="D8" s="72" t="s">
        <v>126</v>
      </c>
      <c r="E8" s="94" t="s">
        <v>60</v>
      </c>
      <c r="F8" s="94" t="s">
        <v>204</v>
      </c>
      <c r="G8" s="94" t="s">
        <v>204</v>
      </c>
      <c r="H8" s="72" t="s">
        <v>653</v>
      </c>
      <c r="I8" s="94" t="s">
        <v>898</v>
      </c>
      <c r="J8" s="60" t="s">
        <v>406</v>
      </c>
      <c r="K8" s="73">
        <v>1</v>
      </c>
      <c r="L8" s="72" t="s">
        <v>652</v>
      </c>
      <c r="M8" s="94" t="s">
        <v>374</v>
      </c>
      <c r="N8" s="124">
        <v>0</v>
      </c>
      <c r="O8" s="76">
        <v>1</v>
      </c>
      <c r="P8" s="94" t="s">
        <v>17</v>
      </c>
      <c r="Q8" s="94" t="s">
        <v>28</v>
      </c>
      <c r="R8" s="94" t="s">
        <v>204</v>
      </c>
      <c r="S8" s="94" t="s">
        <v>204</v>
      </c>
      <c r="T8" s="94" t="s">
        <v>1033</v>
      </c>
      <c r="U8" s="452" t="s">
        <v>204</v>
      </c>
      <c r="V8" s="94" t="s">
        <v>1730</v>
      </c>
      <c r="W8" s="94" t="s">
        <v>204</v>
      </c>
      <c r="X8" s="73">
        <v>1</v>
      </c>
      <c r="Y8" s="94" t="str">
        <f>+M8</f>
        <v xml:space="preserve">Cambio de jurisdicción de laboral a administrativa para resolver conflictos judiciales con la ADRES.
</v>
      </c>
      <c r="Z8" s="150">
        <f>+N8</f>
        <v>0</v>
      </c>
      <c r="AA8" s="75" t="s">
        <v>48</v>
      </c>
      <c r="AB8" s="73">
        <v>1</v>
      </c>
      <c r="AC8" s="94" t="str">
        <f>+Y8</f>
        <v xml:space="preserve">Cambio de jurisdicción de laboral a administrativa para resolver conflictos judiciales con la ADRES.
</v>
      </c>
      <c r="AD8" s="74">
        <v>0</v>
      </c>
      <c r="AE8" s="473">
        <v>1</v>
      </c>
      <c r="AF8" s="473"/>
      <c r="AG8" s="76">
        <f>+(AE8/AB8)</f>
        <v>1</v>
      </c>
      <c r="AH8" s="76" t="e">
        <f>+(AF8/AD8)</f>
        <v>#DIV/0!</v>
      </c>
      <c r="AI8" s="76">
        <f>+(AE8/X8)</f>
        <v>1</v>
      </c>
      <c r="AJ8" s="76" t="e">
        <f>+(AF8/Z8)</f>
        <v>#DIV/0!</v>
      </c>
      <c r="AK8" s="474" t="s">
        <v>1360</v>
      </c>
      <c r="AL8" s="73">
        <v>0</v>
      </c>
      <c r="AM8" s="94" t="str">
        <f>+Y8</f>
        <v xml:space="preserve">Cambio de jurisdicción de laboral a administrativa para resolver conflictos judiciales con la ADRES.
</v>
      </c>
      <c r="AN8" s="74">
        <v>0</v>
      </c>
      <c r="AO8" s="60">
        <v>0</v>
      </c>
      <c r="AP8" s="680">
        <v>0</v>
      </c>
      <c r="AQ8" s="76" t="e">
        <f>+(AO8/AL8)</f>
        <v>#DIV/0!</v>
      </c>
      <c r="AR8" s="76" t="e">
        <f>+(AP8/AN8)</f>
        <v>#DIV/0!</v>
      </c>
      <c r="AS8" s="76">
        <f>+(AO8+AE8)/X8</f>
        <v>1</v>
      </c>
      <c r="AT8" s="76" t="e">
        <f>+(AP8+AF8)/Z8</f>
        <v>#DIV/0!</v>
      </c>
      <c r="AU8" s="679" t="s">
        <v>1701</v>
      </c>
      <c r="AV8" s="73">
        <v>0</v>
      </c>
      <c r="AW8" s="94" t="str">
        <f>+Y8</f>
        <v xml:space="preserve">Cambio de jurisdicción de laboral a administrativa para resolver conflictos judiciales con la ADRES.
</v>
      </c>
      <c r="AX8" s="74">
        <v>0</v>
      </c>
      <c r="AY8" s="126">
        <v>0</v>
      </c>
      <c r="AZ8" s="971">
        <v>0</v>
      </c>
      <c r="BA8" s="76" t="e">
        <f>+(AY8/AV8)</f>
        <v>#DIV/0!</v>
      </c>
      <c r="BB8" s="76" t="e">
        <f>+(AZ8/AX8)</f>
        <v>#DIV/0!</v>
      </c>
      <c r="BC8" s="76">
        <f>+(AO8+AE8+AY8)/X8</f>
        <v>1</v>
      </c>
      <c r="BD8" s="76" t="e">
        <f>+(AP8+AF8+AZ8)/Z8</f>
        <v>#DIV/0!</v>
      </c>
      <c r="BE8" s="76"/>
      <c r="BF8" s="73">
        <v>0</v>
      </c>
      <c r="BG8" s="94" t="str">
        <f>+Y8</f>
        <v xml:space="preserve">Cambio de jurisdicción de laboral a administrativa para resolver conflictos judiciales con la ADRES.
</v>
      </c>
      <c r="BH8" s="74">
        <v>0</v>
      </c>
      <c r="BI8" s="126">
        <v>0</v>
      </c>
      <c r="BJ8" s="971">
        <v>0</v>
      </c>
      <c r="BK8" s="61" t="e">
        <f>+(BI8/BF8)</f>
        <v>#DIV/0!</v>
      </c>
      <c r="BL8" s="61" t="e">
        <f>+(BJ8/BH8)</f>
        <v>#DIV/0!</v>
      </c>
      <c r="BM8" s="61">
        <f>+(AO8+AE8+AY8+BI8)/X8</f>
        <v>1</v>
      </c>
      <c r="BN8" s="61" t="e">
        <f>+(AP8+AF8+AZ8+BJ8)/Z8</f>
        <v>#DIV/0!</v>
      </c>
      <c r="BO8" s="61"/>
      <c r="BP8" s="151">
        <f>IF(AND(AB8=0,AE8=0),"No Prog ni Ejec",IF(AB8=0,CONCATENATE("No Prog, Ejec=  ",AE8),AE8/AB8))</f>
        <v>1</v>
      </c>
      <c r="BQ8" s="151" t="str">
        <f>IF(AND(AD8=0,AF8=0),"No Prog ni Ejec",IF(AD8=0,CONCATENATE("No Prog, Ejec=  ",AF8),AF8/AD8))</f>
        <v>No Prog ni Ejec</v>
      </c>
      <c r="BR8" s="151" t="str">
        <f>IF(AND(AL8=0,AO8=0),"No Prog ni Ejec",IF(AL8=0,CONCATENATE("No Prog, Ejec=  ",AO8),AO8/AL8))</f>
        <v>No Prog ni Ejec</v>
      </c>
      <c r="BS8" s="151" t="str">
        <f>IF(AND(AN8=0,AP8=0),"No Prog ni Ejec",IF(AN8=0,CONCATENATE("No Prog, Ejec=  ",AP8),AP8/AN8))</f>
        <v>No Prog ni Ejec</v>
      </c>
      <c r="BT8" s="151" t="str">
        <f>IF(AND(AV8=0,AY8=0),"No Prog ni Ejec",IF(AV8=0,CONCATENATE("No Prog, Ejec=  ",AY8),AY8/AV8))</f>
        <v>No Prog ni Ejec</v>
      </c>
      <c r="BU8" s="151" t="str">
        <f>IF(AND(AX8=0,AZ8=0),"No Prog ni Ejec",IF(AX8=0,CONCATENATE("No Prog, Ejec=  ",AZ8),AZ8/AX8))</f>
        <v>No Prog ni Ejec</v>
      </c>
      <c r="BV8" s="151" t="str">
        <f>IF(AND(BF8=0,BI8=0),"No Prog ni Ejec",IF(BF8=0,CONCATENATE("No Prog, Ejec=  ",BI8),BI8/BF8))</f>
        <v>No Prog ni Ejec</v>
      </c>
      <c r="BW8" s="151" t="str">
        <f>IF(AND(BH8=0,BJ8=0),"No Prog ni Ejec",IF(BH8=0,CONCATENATE("No Prog, Ejec=  ",BJ8),BJ8/BH8))</f>
        <v>No Prog ni Ejec</v>
      </c>
    </row>
    <row r="9" spans="1:75" s="77" customFormat="1" ht="76.5" x14ac:dyDescent="0.2">
      <c r="A9" s="72">
        <v>11900</v>
      </c>
      <c r="B9" s="94" t="s">
        <v>125</v>
      </c>
      <c r="C9" s="94" t="s">
        <v>330</v>
      </c>
      <c r="D9" s="72" t="s">
        <v>126</v>
      </c>
      <c r="E9" s="94" t="s">
        <v>60</v>
      </c>
      <c r="F9" s="94" t="s">
        <v>204</v>
      </c>
      <c r="G9" s="94" t="s">
        <v>204</v>
      </c>
      <c r="H9" s="72" t="s">
        <v>1295</v>
      </c>
      <c r="I9" s="94" t="s">
        <v>898</v>
      </c>
      <c r="J9" s="60" t="s">
        <v>406</v>
      </c>
      <c r="K9" s="73">
        <v>1</v>
      </c>
      <c r="L9" s="72" t="s">
        <v>1296</v>
      </c>
      <c r="M9" s="94" t="s">
        <v>375</v>
      </c>
      <c r="N9" s="124">
        <v>0</v>
      </c>
      <c r="O9" s="76">
        <v>1</v>
      </c>
      <c r="P9" s="94" t="s">
        <v>17</v>
      </c>
      <c r="Q9" s="94" t="s">
        <v>26</v>
      </c>
      <c r="R9" s="94" t="s">
        <v>629</v>
      </c>
      <c r="S9" s="94" t="s">
        <v>632</v>
      </c>
      <c r="T9" s="94" t="s">
        <v>71</v>
      </c>
      <c r="U9" s="452" t="s">
        <v>204</v>
      </c>
      <c r="V9" s="94" t="s">
        <v>1730</v>
      </c>
      <c r="W9" s="94" t="s">
        <v>204</v>
      </c>
      <c r="X9" s="73">
        <v>1</v>
      </c>
      <c r="Y9" s="94" t="str">
        <f>+M9</f>
        <v xml:space="preserve">Ajustes normativos en cuanto a la no aplicación de intereses de mora en los pagos derivados de sentencias judiciales por recobros y reclamaciones .
</v>
      </c>
      <c r="Z9" s="150">
        <f>+N9</f>
        <v>0</v>
      </c>
      <c r="AA9" s="75" t="s">
        <v>48</v>
      </c>
      <c r="AB9" s="73">
        <v>1</v>
      </c>
      <c r="AC9" s="94" t="str">
        <f>+Y9</f>
        <v xml:space="preserve">Ajustes normativos en cuanto a la no aplicación de intereses de mora en los pagos derivados de sentencias judiciales por recobros y reclamaciones .
</v>
      </c>
      <c r="AD9" s="74">
        <v>0</v>
      </c>
      <c r="AE9" s="473">
        <v>1</v>
      </c>
      <c r="AF9" s="473"/>
      <c r="AG9" s="76">
        <f>+(AE9/AB9)</f>
        <v>1</v>
      </c>
      <c r="AH9" s="76" t="e">
        <f>+(AF9/AD9)</f>
        <v>#DIV/0!</v>
      </c>
      <c r="AI9" s="76">
        <f>+(AE9/X9)</f>
        <v>1</v>
      </c>
      <c r="AJ9" s="76" t="e">
        <f>+(AF9/Z9)</f>
        <v>#DIV/0!</v>
      </c>
      <c r="AK9" s="474" t="s">
        <v>1360</v>
      </c>
      <c r="AL9" s="73">
        <v>0</v>
      </c>
      <c r="AM9" s="94" t="str">
        <f>+Y9</f>
        <v xml:space="preserve">Ajustes normativos en cuanto a la no aplicación de intereses de mora en los pagos derivados de sentencias judiciales por recobros y reclamaciones .
</v>
      </c>
      <c r="AN9" s="74">
        <v>0</v>
      </c>
      <c r="AO9" s="60">
        <v>0</v>
      </c>
      <c r="AP9" s="680">
        <v>0</v>
      </c>
      <c r="AQ9" s="76" t="e">
        <f>+(AO9/AL9)</f>
        <v>#DIV/0!</v>
      </c>
      <c r="AR9" s="76" t="e">
        <f>+(AP9/AN9)</f>
        <v>#DIV/0!</v>
      </c>
      <c r="AS9" s="76">
        <f>+(AO9+AE9)/X9</f>
        <v>1</v>
      </c>
      <c r="AT9" s="76" t="e">
        <f>+(AP9+AF9)/Z9</f>
        <v>#DIV/0!</v>
      </c>
      <c r="AU9" s="679" t="s">
        <v>1701</v>
      </c>
      <c r="AV9" s="73">
        <v>0</v>
      </c>
      <c r="AW9" s="94" t="str">
        <f>+Y9</f>
        <v xml:space="preserve">Ajustes normativos en cuanto a la no aplicación de intereses de mora en los pagos derivados de sentencias judiciales por recobros y reclamaciones .
</v>
      </c>
      <c r="AX9" s="74">
        <v>0</v>
      </c>
      <c r="AY9" s="126">
        <v>0</v>
      </c>
      <c r="AZ9" s="971">
        <v>0</v>
      </c>
      <c r="BA9" s="76" t="e">
        <f>+(AY9/AV9)</f>
        <v>#DIV/0!</v>
      </c>
      <c r="BB9" s="76" t="e">
        <f>+(AZ9/AX9)</f>
        <v>#DIV/0!</v>
      </c>
      <c r="BC9" s="76">
        <f>+(AO9+AE9+AY9)/X9</f>
        <v>1</v>
      </c>
      <c r="BD9" s="76" t="e">
        <f>+(AP9+AF9+AZ9)/Z9</f>
        <v>#DIV/0!</v>
      </c>
      <c r="BE9" s="76"/>
      <c r="BF9" s="73">
        <v>0</v>
      </c>
      <c r="BG9" s="94" t="str">
        <f>+Y9</f>
        <v xml:space="preserve">Ajustes normativos en cuanto a la no aplicación de intereses de mora en los pagos derivados de sentencias judiciales por recobros y reclamaciones .
</v>
      </c>
      <c r="BH9" s="74">
        <v>0</v>
      </c>
      <c r="BI9" s="126">
        <v>0</v>
      </c>
      <c r="BJ9" s="971">
        <v>0</v>
      </c>
      <c r="BK9" s="61" t="e">
        <f>+(BI9/BF9)</f>
        <v>#DIV/0!</v>
      </c>
      <c r="BL9" s="61" t="e">
        <f>+(BJ9/BH9)</f>
        <v>#DIV/0!</v>
      </c>
      <c r="BM9" s="61">
        <f>+(AO9+AE9+AY9+BI9)/X9</f>
        <v>1</v>
      </c>
      <c r="BN9" s="61" t="e">
        <f>+(AP9+AF9+AZ9+BJ9)/Z9</f>
        <v>#DIV/0!</v>
      </c>
      <c r="BO9" s="61"/>
      <c r="BP9" s="151">
        <f>IF(AND(AB9=0,AE9=0),"No Prog ni Ejec",IF(AB9=0,CONCATENATE("No Prog, Ejec=  ",AE9),AE9/AB9))</f>
        <v>1</v>
      </c>
      <c r="BQ9" s="151" t="str">
        <f>IF(AND(AD9=0,AF9=0),"No Prog ni Ejec",IF(AD9=0,CONCATENATE("No Prog, Ejec=  ",AF9),AF9/AD9))</f>
        <v>No Prog ni Ejec</v>
      </c>
      <c r="BR9" s="151" t="str">
        <f>IF(AND(AL9=0,AO9=0),"No Prog ni Ejec",IF(AL9=0,CONCATENATE("No Prog, Ejec=  ",AO9),AO9/AL9))</f>
        <v>No Prog ni Ejec</v>
      </c>
      <c r="BS9" s="151" t="str">
        <f>IF(AND(AN9=0,AP9=0),"No Prog ni Ejec",IF(AN9=0,CONCATENATE("No Prog, Ejec=  ",AP9),AP9/AN9))</f>
        <v>No Prog ni Ejec</v>
      </c>
      <c r="BT9" s="151" t="str">
        <f>IF(AND(AV9=0,AY9=0),"No Prog ni Ejec",IF(AV9=0,CONCATENATE("No Prog, Ejec=  ",AY9),AY9/AV9))</f>
        <v>No Prog ni Ejec</v>
      </c>
      <c r="BU9" s="151" t="str">
        <f>IF(AND(AX9=0,AZ9=0),"No Prog ni Ejec",IF(AX9=0,CONCATENATE("No Prog, Ejec=  ",AZ9),AZ9/AX9))</f>
        <v>No Prog ni Ejec</v>
      </c>
      <c r="BV9" s="151" t="str">
        <f>IF(AND(BF9=0,BI9=0),"No Prog ni Ejec",IF(BF9=0,CONCATENATE("No Prog, Ejec=  ",BI9),BI9/BF9))</f>
        <v>No Prog ni Ejec</v>
      </c>
      <c r="BW9" s="151"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1264</v>
      </c>
      <c r="B11" s="6"/>
      <c r="C11" s="6"/>
      <c r="D11" s="6"/>
      <c r="E11" s="6"/>
      <c r="F11" s="6"/>
      <c r="G11" s="6"/>
      <c r="I11" s="6"/>
      <c r="J11" s="10"/>
      <c r="L11" s="84"/>
      <c r="N11" s="87"/>
      <c r="BP11" s="1395" t="s">
        <v>179</v>
      </c>
      <c r="BQ11" s="1396"/>
      <c r="BR11" s="1396"/>
      <c r="BS11" s="1396"/>
      <c r="BT11" s="1396"/>
      <c r="BU11" s="1397"/>
    </row>
    <row r="12" spans="1:75" x14ac:dyDescent="0.25">
      <c r="B12" s="6"/>
      <c r="C12" s="6"/>
      <c r="D12" s="6"/>
      <c r="E12" s="6"/>
      <c r="F12" s="6"/>
      <c r="G12" s="6"/>
      <c r="I12" s="6"/>
      <c r="J12" s="10"/>
      <c r="N12" s="5"/>
      <c r="BP12" s="1388" t="s">
        <v>180</v>
      </c>
      <c r="BQ12" s="1389"/>
      <c r="BR12" s="1390" t="s">
        <v>181</v>
      </c>
      <c r="BS12" s="1391"/>
      <c r="BT12" s="1391"/>
      <c r="BU12" s="1392"/>
    </row>
    <row r="13" spans="1:75" x14ac:dyDescent="0.25">
      <c r="A13" s="6"/>
      <c r="B13" s="6"/>
      <c r="C13" s="6"/>
      <c r="D13" s="6"/>
      <c r="E13" s="6"/>
      <c r="F13" s="6"/>
      <c r="G13" s="6"/>
      <c r="H13" s="6"/>
      <c r="I13" s="6"/>
      <c r="J13" s="10"/>
      <c r="BP13" s="1393" t="s">
        <v>196</v>
      </c>
      <c r="BQ13" s="1394"/>
      <c r="BR13" s="1390" t="s">
        <v>198</v>
      </c>
      <c r="BS13" s="1391"/>
      <c r="BT13" s="1391"/>
      <c r="BU13" s="1392"/>
    </row>
    <row r="14" spans="1:75" x14ac:dyDescent="0.25">
      <c r="A14" s="6"/>
      <c r="B14" s="6"/>
      <c r="C14" s="6"/>
      <c r="D14" s="6"/>
      <c r="E14" s="6"/>
      <c r="F14" s="6"/>
      <c r="G14" s="6"/>
      <c r="H14" s="6"/>
      <c r="I14" s="6"/>
      <c r="J14" s="10"/>
      <c r="BP14" s="1400" t="s">
        <v>197</v>
      </c>
      <c r="BQ14" s="1401"/>
      <c r="BR14" s="1390" t="s">
        <v>182</v>
      </c>
      <c r="BS14" s="1391"/>
      <c r="BT14" s="1391"/>
      <c r="BU14" s="1392"/>
    </row>
    <row r="15" spans="1:75" x14ac:dyDescent="0.25">
      <c r="A15" s="6"/>
      <c r="B15" s="6"/>
      <c r="C15" s="6"/>
      <c r="D15" s="6"/>
      <c r="E15" s="6"/>
      <c r="F15" s="6"/>
      <c r="G15" s="6"/>
      <c r="H15" s="6"/>
      <c r="I15" s="6"/>
      <c r="J15" s="10"/>
      <c r="N15" s="5"/>
      <c r="BP15" s="1402" t="s">
        <v>194</v>
      </c>
      <c r="BQ15" s="1403"/>
      <c r="BR15" s="1390" t="s">
        <v>183</v>
      </c>
      <c r="BS15" s="1391"/>
      <c r="BT15" s="1391"/>
      <c r="BU15" s="1392"/>
    </row>
    <row r="16" spans="1:75" x14ac:dyDescent="0.25">
      <c r="A16" s="6"/>
      <c r="B16" s="6"/>
      <c r="C16" s="6"/>
      <c r="D16" s="6"/>
      <c r="E16" s="6"/>
      <c r="F16" s="6"/>
      <c r="G16" s="6"/>
      <c r="H16" s="6"/>
      <c r="I16" s="6"/>
      <c r="J16" s="10"/>
      <c r="BP16" s="1404" t="s">
        <v>241</v>
      </c>
      <c r="BQ16" s="1405"/>
      <c r="BR16" s="1390" t="s">
        <v>184</v>
      </c>
      <c r="BS16" s="1391"/>
      <c r="BT16" s="1391"/>
      <c r="BU16" s="1392"/>
    </row>
    <row r="17" spans="1:228" x14ac:dyDescent="0.25">
      <c r="A17" s="6"/>
      <c r="B17" s="6"/>
      <c r="C17" s="6"/>
      <c r="D17" s="6"/>
      <c r="E17" s="6"/>
      <c r="F17" s="6"/>
      <c r="G17" s="6"/>
      <c r="H17" s="6"/>
      <c r="I17" s="6"/>
      <c r="J17" s="10"/>
      <c r="BP17" s="1398" t="s">
        <v>185</v>
      </c>
      <c r="BQ17" s="1398"/>
      <c r="BR17" s="1399" t="s">
        <v>186</v>
      </c>
      <c r="BS17" s="1399"/>
      <c r="BT17" s="1399"/>
      <c r="BU17" s="1399"/>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Dw6PIb6+80tJ0vRwY/6dizMsuatn3nE4IgTHghDLSFPhudSGJl96dPsOOfQLW4Jsvn3yiKh24Kp7u5epe1TjqQ==" saltValue="H9keEkJvyO7JZO4aS59pPw==" spinCount="100000" sheet="1" objects="1" scenarios="1"/>
  <autoFilter ref="A7:HT9" xr:uid="{00000000-0009-0000-0000-000005000000}"/>
  <mergeCells count="29">
    <mergeCell ref="BP17:BQ17"/>
    <mergeCell ref="BR17:BU17"/>
    <mergeCell ref="BP14:BQ14"/>
    <mergeCell ref="BR14:BU14"/>
    <mergeCell ref="BP15:BQ15"/>
    <mergeCell ref="BR15:BU15"/>
    <mergeCell ref="BP16:BQ16"/>
    <mergeCell ref="BR16:BU16"/>
    <mergeCell ref="BP12:BQ12"/>
    <mergeCell ref="BR12:BU12"/>
    <mergeCell ref="BP13:BQ13"/>
    <mergeCell ref="BR13:BU13"/>
    <mergeCell ref="BF6:BO6"/>
    <mergeCell ref="BP11:BU11"/>
    <mergeCell ref="BP6:BW6"/>
    <mergeCell ref="BT1:BW3"/>
    <mergeCell ref="C2:H2"/>
    <mergeCell ref="I2:I3"/>
    <mergeCell ref="J2:BQ3"/>
    <mergeCell ref="BR2:BR3"/>
    <mergeCell ref="BS2:BS3"/>
    <mergeCell ref="C3:H3"/>
    <mergeCell ref="E5:P5"/>
    <mergeCell ref="AB6:AK6"/>
    <mergeCell ref="AL6:AU6"/>
    <mergeCell ref="A1:B3"/>
    <mergeCell ref="C1:H1"/>
    <mergeCell ref="I1:BS1"/>
    <mergeCell ref="AV6:BE6"/>
  </mergeCells>
  <conditionalFormatting sqref="BP8:BW9">
    <cfRule type="cellIs" dxfId="13036" priority="37" operator="equal">
      <formula>#REF!</formula>
    </cfRule>
    <cfRule type="cellIs" dxfId="13035" priority="38" operator="greaterThan">
      <formula>1</formula>
    </cfRule>
    <cfRule type="cellIs" dxfId="13034" priority="39" operator="equal">
      <formula>100%</formula>
    </cfRule>
    <cfRule type="cellIs" dxfId="13033" priority="40" operator="between">
      <formula>80%</formula>
      <formula>99%</formula>
    </cfRule>
    <cfRule type="cellIs" dxfId="13032"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406" t="s">
        <v>467</v>
      </c>
      <c r="B1" s="1406"/>
      <c r="D1" s="1406" t="s">
        <v>476</v>
      </c>
      <c r="E1" s="1406"/>
    </row>
    <row r="3" spans="1:7" x14ac:dyDescent="0.25">
      <c r="A3" s="165" t="s">
        <v>468</v>
      </c>
      <c r="B3" s="165" t="s">
        <v>469</v>
      </c>
      <c r="D3" s="165" t="s">
        <v>468</v>
      </c>
      <c r="E3" s="165" t="s">
        <v>469</v>
      </c>
    </row>
    <row r="4" spans="1:7" x14ac:dyDescent="0.25">
      <c r="A4" t="s">
        <v>470</v>
      </c>
      <c r="B4" s="167">
        <f>15179735019.05+3086194000+2846265640</f>
        <v>21112194659.049999</v>
      </c>
      <c r="D4" t="s">
        <v>477</v>
      </c>
      <c r="E4" s="86">
        <f>+'[10]Plan de Accion Proyectos estrat'!P37</f>
        <v>42159994067.800003</v>
      </c>
    </row>
    <row r="5" spans="1:7" x14ac:dyDescent="0.25">
      <c r="A5" t="s">
        <v>471</v>
      </c>
      <c r="B5" s="167">
        <v>284095877.32999998</v>
      </c>
      <c r="D5" t="s">
        <v>478</v>
      </c>
      <c r="E5" s="86">
        <f>+'[10]Plan de Accion Misional'!N21</f>
        <v>909976656</v>
      </c>
    </row>
    <row r="6" spans="1:7" x14ac:dyDescent="0.25">
      <c r="A6" t="s">
        <v>1000</v>
      </c>
      <c r="B6" s="167">
        <f>297518840.75-107418462</f>
        <v>190100378.75</v>
      </c>
      <c r="D6" t="s">
        <v>479</v>
      </c>
      <c r="E6" s="86">
        <f>+'[10]Plan de Accion apoyo transversa'!AC179</f>
        <v>6693994995.0797157</v>
      </c>
    </row>
    <row r="7" spans="1:7" x14ac:dyDescent="0.25">
      <c r="A7" t="s">
        <v>472</v>
      </c>
      <c r="B7" s="167">
        <v>41000000</v>
      </c>
      <c r="D7" t="s">
        <v>1011</v>
      </c>
      <c r="E7" s="86">
        <f>+'[10]Plan de Accion ajustes normativ'!N11</f>
        <v>0</v>
      </c>
    </row>
    <row r="8" spans="1:7" x14ac:dyDescent="0.25">
      <c r="A8" t="s">
        <v>1001</v>
      </c>
      <c r="B8" s="167">
        <v>874173000</v>
      </c>
      <c r="D8" s="84" t="s">
        <v>474</v>
      </c>
      <c r="E8" s="89">
        <f>SUM(E4:E7)</f>
        <v>49763965718.879715</v>
      </c>
    </row>
    <row r="9" spans="1:7" x14ac:dyDescent="0.25">
      <c r="A9" t="s">
        <v>1003</v>
      </c>
      <c r="B9" s="167">
        <v>0</v>
      </c>
    </row>
    <row r="10" spans="1:7" x14ac:dyDescent="0.25">
      <c r="A10" t="s">
        <v>1002</v>
      </c>
      <c r="B10" s="167">
        <v>329198836</v>
      </c>
      <c r="D10" s="84" t="s">
        <v>481</v>
      </c>
      <c r="E10" s="91">
        <f>+E8+B24</f>
        <v>149720984721.26971</v>
      </c>
    </row>
    <row r="11" spans="1:7" x14ac:dyDescent="0.25">
      <c r="A11" t="s">
        <v>1004</v>
      </c>
      <c r="B11" s="167">
        <v>598373865</v>
      </c>
      <c r="D11" s="84" t="s">
        <v>480</v>
      </c>
      <c r="E11" s="91">
        <v>145380000000</v>
      </c>
    </row>
    <row r="12" spans="1:7" x14ac:dyDescent="0.25">
      <c r="A12" t="s">
        <v>1005</v>
      </c>
      <c r="B12" s="167">
        <v>9148844253</v>
      </c>
      <c r="D12" s="84" t="s">
        <v>482</v>
      </c>
      <c r="E12" s="92">
        <f>+E11-E10</f>
        <v>-4340984721.2697144</v>
      </c>
      <c r="F12" s="92">
        <v>-4766030188.4799995</v>
      </c>
      <c r="G12" s="92">
        <f>+E12-F12</f>
        <v>425045467.21028519</v>
      </c>
    </row>
    <row r="13" spans="1:7" x14ac:dyDescent="0.25">
      <c r="A13" t="s">
        <v>1006</v>
      </c>
      <c r="B13" s="167">
        <v>6213998083</v>
      </c>
    </row>
    <row r="14" spans="1:7" x14ac:dyDescent="0.25">
      <c r="A14" t="s">
        <v>1007</v>
      </c>
      <c r="B14" s="119">
        <v>0</v>
      </c>
    </row>
    <row r="15" spans="1:7" x14ac:dyDescent="0.25">
      <c r="A15" t="s">
        <v>1008</v>
      </c>
      <c r="B15" s="119">
        <f>2053023852+2668208441+77167329+139134671+57500000+107418462+248695717+115012186.95</f>
        <v>5466160658.9499998</v>
      </c>
    </row>
    <row r="16" spans="1:7" x14ac:dyDescent="0.25">
      <c r="A16" t="s">
        <v>1009</v>
      </c>
      <c r="B16" s="119">
        <f>338707320+295906600+162000000</f>
        <v>796613920</v>
      </c>
      <c r="D16" s="62"/>
    </row>
    <row r="17" spans="1:5" x14ac:dyDescent="0.25">
      <c r="A17" t="s">
        <v>1010</v>
      </c>
      <c r="B17" s="85">
        <v>0</v>
      </c>
    </row>
    <row r="18" spans="1:5" ht="6" customHeight="1" x14ac:dyDescent="0.25">
      <c r="B18" s="85"/>
    </row>
    <row r="19" spans="1:5" x14ac:dyDescent="0.25">
      <c r="A19" s="84" t="s">
        <v>473</v>
      </c>
      <c r="B19" s="87">
        <f>SUM(B4:B17)</f>
        <v>45054753531.080002</v>
      </c>
    </row>
    <row r="20" spans="1:5" ht="6" customHeight="1" x14ac:dyDescent="0.25"/>
    <row r="21" spans="1:5" ht="18" customHeight="1" x14ac:dyDescent="0.25">
      <c r="A21" t="s">
        <v>1012</v>
      </c>
      <c r="B21" s="99">
        <v>21836252000</v>
      </c>
    </row>
    <row r="22" spans="1:5" ht="18" customHeight="1" x14ac:dyDescent="0.25">
      <c r="A22" t="s">
        <v>475</v>
      </c>
      <c r="B22" s="99">
        <v>33066013471.310001</v>
      </c>
    </row>
    <row r="23" spans="1:5" ht="6" customHeight="1" x14ac:dyDescent="0.25"/>
    <row r="24" spans="1:5" x14ac:dyDescent="0.25">
      <c r="A24" s="84" t="s">
        <v>474</v>
      </c>
      <c r="B24" s="88">
        <f>+B19+B21+B22</f>
        <v>99957019002.389999</v>
      </c>
      <c r="E24" s="90"/>
    </row>
    <row r="26" spans="1:5" x14ac:dyDescent="0.25">
      <c r="A26" s="84" t="s">
        <v>1308</v>
      </c>
      <c r="B26" s="92">
        <f>+B8+B10+B13+B11+B12+E12</f>
        <v>12823603315.730286</v>
      </c>
    </row>
    <row r="27" spans="1:5" x14ac:dyDescent="0.25">
      <c r="B27" s="90"/>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407"/>
      <c r="B2" s="1408"/>
      <c r="C2" s="1413" t="s">
        <v>246</v>
      </c>
      <c r="D2" s="1414"/>
      <c r="E2" s="1431" t="s">
        <v>247</v>
      </c>
      <c r="F2" s="1432"/>
      <c r="G2" s="1432"/>
      <c r="H2" s="1433"/>
      <c r="I2" s="1419"/>
      <c r="J2" s="1420"/>
      <c r="K2" s="1420"/>
      <c r="L2" s="1421"/>
    </row>
    <row r="3" spans="1:12" x14ac:dyDescent="0.25">
      <c r="A3" s="1409"/>
      <c r="B3" s="1410"/>
      <c r="C3" s="1415" t="s">
        <v>248</v>
      </c>
      <c r="D3" s="1416"/>
      <c r="E3" s="1428" t="s">
        <v>209</v>
      </c>
      <c r="F3" s="1429"/>
      <c r="G3" s="1429"/>
      <c r="H3" s="1430"/>
      <c r="I3" s="1422"/>
      <c r="J3" s="1423"/>
      <c r="K3" s="1423"/>
      <c r="L3" s="1424"/>
    </row>
    <row r="4" spans="1:12" ht="15.75" thickBot="1" x14ac:dyDescent="0.3">
      <c r="A4" s="1411"/>
      <c r="B4" s="1412"/>
      <c r="C4" s="1417" t="s">
        <v>242</v>
      </c>
      <c r="D4" s="1418"/>
      <c r="E4" s="1434" t="s">
        <v>251</v>
      </c>
      <c r="F4" s="1435"/>
      <c r="G4" s="21" t="s">
        <v>249</v>
      </c>
      <c r="H4" s="20">
        <v>1</v>
      </c>
      <c r="I4" s="1425"/>
      <c r="J4" s="1426"/>
      <c r="K4" s="1426"/>
      <c r="L4" s="1427"/>
    </row>
    <row r="7" spans="1:12" x14ac:dyDescent="0.25">
      <c r="C7" s="22"/>
      <c r="D7" s="22"/>
      <c r="E7" s="22"/>
      <c r="F7" s="22"/>
      <c r="G7" s="22"/>
      <c r="H7" s="22"/>
      <c r="I7" s="22"/>
    </row>
    <row r="8" spans="1:12" x14ac:dyDescent="0.25">
      <c r="C8" s="26" t="s">
        <v>243</v>
      </c>
      <c r="D8" s="22"/>
      <c r="E8" s="22"/>
      <c r="F8" s="22"/>
      <c r="G8" s="22"/>
      <c r="H8" s="22"/>
      <c r="I8" s="534"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1407</v>
      </c>
      <c r="D13" s="22"/>
      <c r="E13" s="22"/>
      <c r="F13" s="22"/>
      <c r="G13" s="22"/>
      <c r="H13" s="22"/>
      <c r="I13" s="534"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34"/>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1408</v>
      </c>
      <c r="D19" s="22"/>
      <c r="E19" s="22"/>
      <c r="F19" s="22"/>
      <c r="G19" s="22"/>
      <c r="H19" s="534"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34"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P379"/>
  <sheetViews>
    <sheetView showGridLines="0" zoomScale="60" zoomScaleNormal="60" workbookViewId="0">
      <selection activeCell="AI37" sqref="AI37:AI40"/>
    </sheetView>
  </sheetViews>
  <sheetFormatPr baseColWidth="10" defaultColWidth="11" defaultRowHeight="14.25" x14ac:dyDescent="0.2"/>
  <cols>
    <col min="1" max="1" width="1.5703125" style="172" customWidth="1"/>
    <col min="2" max="2" width="22.28515625" style="172" customWidth="1"/>
    <col min="3" max="3" width="42.5703125" style="172" customWidth="1"/>
    <col min="4" max="4" width="38.7109375" style="172" customWidth="1"/>
    <col min="5" max="7" width="32.140625" style="172" customWidth="1"/>
    <col min="8" max="8" width="33.85546875" style="172" customWidth="1"/>
    <col min="9" max="9" width="5.7109375" style="175" customWidth="1"/>
    <col min="10" max="10" width="15.85546875" style="175" customWidth="1"/>
    <col min="11" max="11" width="23.5703125" style="172" customWidth="1"/>
    <col min="12" max="12" width="15.7109375" style="172" customWidth="1"/>
    <col min="13" max="13" width="17.5703125" style="172" customWidth="1"/>
    <col min="14" max="15" width="15.7109375" style="172" customWidth="1"/>
    <col min="16" max="16" width="2.5703125" style="173" customWidth="1"/>
    <col min="17" max="17" width="15.5703125" style="172" customWidth="1"/>
    <col min="18" max="19" width="17.140625" style="172" customWidth="1"/>
    <col min="20" max="22" width="21" style="172" customWidth="1"/>
    <col min="23" max="23" width="2.5703125" style="173" customWidth="1"/>
    <col min="24" max="24" width="17.140625" style="172" customWidth="1"/>
    <col min="25" max="25" width="14.85546875" style="172" customWidth="1"/>
    <col min="26" max="26" width="20.42578125" style="172" customWidth="1"/>
    <col min="27" max="28" width="20.7109375" style="172" customWidth="1"/>
    <col min="29" max="29" width="17.5703125" style="172" customWidth="1"/>
    <col min="30" max="30" width="2.5703125" style="173" customWidth="1"/>
    <col min="31" max="31" width="16" style="172" customWidth="1"/>
    <col min="32" max="33" width="16.28515625" style="172" customWidth="1"/>
    <col min="34" max="34" width="21.5703125" style="172" customWidth="1"/>
    <col min="35" max="35" width="18.140625" style="172" customWidth="1"/>
    <col min="36" max="36" width="19.85546875" style="172" hidden="1" customWidth="1"/>
    <col min="37" max="37" width="5.7109375" style="1165" hidden="1" customWidth="1"/>
    <col min="38" max="39" width="11" style="172" hidden="1" customWidth="1"/>
    <col min="40" max="40" width="2.7109375" style="172" hidden="1" customWidth="1"/>
    <col min="41" max="42" width="11" style="172" hidden="1" customWidth="1"/>
    <col min="43" max="43" width="2.7109375" style="172" hidden="1" customWidth="1"/>
    <col min="44" max="45" width="11" style="172" hidden="1" customWidth="1"/>
    <col min="46" max="46" width="2.7109375" style="172" hidden="1" customWidth="1"/>
    <col min="47" max="48" width="11" style="172" hidden="1" customWidth="1"/>
    <col min="49" max="49" width="2.7109375" style="172" hidden="1" customWidth="1"/>
    <col min="50" max="50" width="11" style="172" hidden="1" customWidth="1"/>
    <col min="51" max="51" width="5.7109375" style="172" hidden="1" customWidth="1"/>
    <col min="52" max="53" width="11" style="172" hidden="1" customWidth="1"/>
    <col min="54" max="54" width="2.7109375" style="172" hidden="1" customWidth="1"/>
    <col min="55" max="56" width="11" style="172" hidden="1" customWidth="1"/>
    <col min="57" max="57" width="2.7109375" style="172" hidden="1" customWidth="1"/>
    <col min="58" max="59" width="11" style="172" hidden="1" customWidth="1"/>
    <col min="60" max="60" width="2.7109375" style="172" hidden="1" customWidth="1"/>
    <col min="61" max="62" width="11" style="172" hidden="1" customWidth="1"/>
    <col min="63" max="63" width="2.7109375" style="172" hidden="1" customWidth="1"/>
    <col min="64" max="64" width="11" style="172" hidden="1" customWidth="1"/>
    <col min="65" max="65" width="5.7109375" style="172" hidden="1" customWidth="1"/>
    <col min="66" max="67" width="11" style="172" hidden="1" customWidth="1"/>
    <col min="68" max="68" width="2.7109375" style="172" hidden="1" customWidth="1"/>
    <col min="69" max="70" width="11" style="172" hidden="1" customWidth="1"/>
    <col min="71" max="71" width="2.7109375" style="172" hidden="1" customWidth="1"/>
    <col min="72" max="73" width="11" style="172" hidden="1" customWidth="1"/>
    <col min="74" max="74" width="2.7109375" style="172" hidden="1" customWidth="1"/>
    <col min="75" max="76" width="11" style="172" hidden="1" customWidth="1"/>
    <col min="77" max="77" width="2.7109375" style="172" hidden="1" customWidth="1"/>
    <col min="78" max="78" width="11" style="172" hidden="1" customWidth="1"/>
    <col min="79" max="79" width="5.7109375" style="172" hidden="1" customWidth="1"/>
    <col min="80" max="81" width="11" style="172" hidden="1" customWidth="1"/>
    <col min="82" max="82" width="2.7109375" style="172" hidden="1" customWidth="1"/>
    <col min="83" max="84" width="11" style="172" hidden="1" customWidth="1"/>
    <col min="85" max="85" width="2.7109375" style="172" hidden="1" customWidth="1"/>
    <col min="86" max="87" width="11" style="172" hidden="1" customWidth="1"/>
    <col min="88" max="88" width="2.7109375" style="172" hidden="1" customWidth="1"/>
    <col min="89" max="90" width="11" style="172" hidden="1" customWidth="1"/>
    <col min="91" max="91" width="2.7109375" style="172" hidden="1" customWidth="1"/>
    <col min="92" max="92" width="11" style="172" hidden="1" customWidth="1"/>
    <col min="93" max="268" width="11" style="172"/>
    <col min="269" max="269" width="1.5703125" style="172" customWidth="1"/>
    <col min="270" max="270" width="8.5703125" style="172" customWidth="1"/>
    <col min="271" max="271" width="28.7109375" style="172" customWidth="1"/>
    <col min="272" max="272" width="26.5703125" style="172" customWidth="1"/>
    <col min="273" max="273" width="7.7109375" style="172" customWidth="1"/>
    <col min="274" max="274" width="19.42578125" style="172" customWidth="1"/>
    <col min="275" max="275" width="44.28515625" style="172" customWidth="1"/>
    <col min="276" max="276" width="17" style="172" customWidth="1"/>
    <col min="277" max="277" width="15.5703125" style="172" customWidth="1"/>
    <col min="278" max="278" width="14.140625" style="172" customWidth="1"/>
    <col min="279" max="279" width="1.7109375" style="172" customWidth="1"/>
    <col min="280" max="280" width="13.7109375" style="172" customWidth="1"/>
    <col min="281" max="281" width="13.85546875" style="172" bestFit="1" customWidth="1"/>
    <col min="282" max="282" width="2.5703125" style="172" customWidth="1"/>
    <col min="283" max="283" width="12.42578125" style="172" customWidth="1"/>
    <col min="284" max="284" width="13.5703125" style="172" customWidth="1"/>
    <col min="285" max="285" width="2.5703125" style="172" customWidth="1"/>
    <col min="286" max="286" width="12.42578125" style="172" customWidth="1"/>
    <col min="287" max="287" width="13.5703125" style="172" customWidth="1"/>
    <col min="288" max="288" width="2.5703125" style="172" customWidth="1"/>
    <col min="289" max="289" width="11.5703125" style="172" customWidth="1"/>
    <col min="290" max="290" width="13" style="172" customWidth="1"/>
    <col min="291" max="291" width="1.42578125" style="172" customWidth="1"/>
    <col min="292" max="292" width="10.5703125" style="172" customWidth="1"/>
    <col min="293" max="524" width="11" style="172"/>
    <col min="525" max="525" width="1.5703125" style="172" customWidth="1"/>
    <col min="526" max="526" width="8.5703125" style="172" customWidth="1"/>
    <col min="527" max="527" width="28.7109375" style="172" customWidth="1"/>
    <col min="528" max="528" width="26.5703125" style="172" customWidth="1"/>
    <col min="529" max="529" width="7.7109375" style="172" customWidth="1"/>
    <col min="530" max="530" width="19.42578125" style="172" customWidth="1"/>
    <col min="531" max="531" width="44.28515625" style="172" customWidth="1"/>
    <col min="532" max="532" width="17" style="172" customWidth="1"/>
    <col min="533" max="533" width="15.5703125" style="172" customWidth="1"/>
    <col min="534" max="534" width="14.140625" style="172" customWidth="1"/>
    <col min="535" max="535" width="1.7109375" style="172" customWidth="1"/>
    <col min="536" max="536" width="13.7109375" style="172" customWidth="1"/>
    <col min="537" max="537" width="13.85546875" style="172" bestFit="1" customWidth="1"/>
    <col min="538" max="538" width="2.5703125" style="172" customWidth="1"/>
    <col min="539" max="539" width="12.42578125" style="172" customWidth="1"/>
    <col min="540" max="540" width="13.5703125" style="172" customWidth="1"/>
    <col min="541" max="541" width="2.5703125" style="172" customWidth="1"/>
    <col min="542" max="542" width="12.42578125" style="172" customWidth="1"/>
    <col min="543" max="543" width="13.5703125" style="172" customWidth="1"/>
    <col min="544" max="544" width="2.5703125" style="172" customWidth="1"/>
    <col min="545" max="545" width="11.5703125" style="172" customWidth="1"/>
    <col min="546" max="546" width="13" style="172" customWidth="1"/>
    <col min="547" max="547" width="1.42578125" style="172" customWidth="1"/>
    <col min="548" max="548" width="10.5703125" style="172" customWidth="1"/>
    <col min="549" max="780" width="11" style="172"/>
    <col min="781" max="781" width="1.5703125" style="172" customWidth="1"/>
    <col min="782" max="782" width="8.5703125" style="172" customWidth="1"/>
    <col min="783" max="783" width="28.7109375" style="172" customWidth="1"/>
    <col min="784" max="784" width="26.5703125" style="172" customWidth="1"/>
    <col min="785" max="785" width="7.7109375" style="172" customWidth="1"/>
    <col min="786" max="786" width="19.42578125" style="172" customWidth="1"/>
    <col min="787" max="787" width="44.28515625" style="172" customWidth="1"/>
    <col min="788" max="788" width="17" style="172" customWidth="1"/>
    <col min="789" max="789" width="15.5703125" style="172" customWidth="1"/>
    <col min="790" max="790" width="14.140625" style="172" customWidth="1"/>
    <col min="791" max="791" width="1.7109375" style="172" customWidth="1"/>
    <col min="792" max="792" width="13.7109375" style="172" customWidth="1"/>
    <col min="793" max="793" width="13.85546875" style="172" bestFit="1" customWidth="1"/>
    <col min="794" max="794" width="2.5703125" style="172" customWidth="1"/>
    <col min="795" max="795" width="12.42578125" style="172" customWidth="1"/>
    <col min="796" max="796" width="13.5703125" style="172" customWidth="1"/>
    <col min="797" max="797" width="2.5703125" style="172" customWidth="1"/>
    <col min="798" max="798" width="12.42578125" style="172" customWidth="1"/>
    <col min="799" max="799" width="13.5703125" style="172" customWidth="1"/>
    <col min="800" max="800" width="2.5703125" style="172" customWidth="1"/>
    <col min="801" max="801" width="11.5703125" style="172" customWidth="1"/>
    <col min="802" max="802" width="13" style="172" customWidth="1"/>
    <col min="803" max="803" width="1.42578125" style="172" customWidth="1"/>
    <col min="804" max="804" width="10.5703125" style="172" customWidth="1"/>
    <col min="805" max="1036" width="11" style="172"/>
    <col min="1037" max="1037" width="1.5703125" style="172" customWidth="1"/>
    <col min="1038" max="1038" width="8.5703125" style="172" customWidth="1"/>
    <col min="1039" max="1039" width="28.7109375" style="172" customWidth="1"/>
    <col min="1040" max="1040" width="26.5703125" style="172" customWidth="1"/>
    <col min="1041" max="1041" width="7.7109375" style="172" customWidth="1"/>
    <col min="1042" max="1042" width="19.42578125" style="172" customWidth="1"/>
    <col min="1043" max="1043" width="44.28515625" style="172" customWidth="1"/>
    <col min="1044" max="1044" width="17" style="172" customWidth="1"/>
    <col min="1045" max="1045" width="15.5703125" style="172" customWidth="1"/>
    <col min="1046" max="1046" width="14.140625" style="172" customWidth="1"/>
    <col min="1047" max="1047" width="1.7109375" style="172" customWidth="1"/>
    <col min="1048" max="1048" width="13.7109375" style="172" customWidth="1"/>
    <col min="1049" max="1049" width="13.85546875" style="172" bestFit="1" customWidth="1"/>
    <col min="1050" max="1050" width="2.5703125" style="172" customWidth="1"/>
    <col min="1051" max="1051" width="12.42578125" style="172" customWidth="1"/>
    <col min="1052" max="1052" width="13.5703125" style="172" customWidth="1"/>
    <col min="1053" max="1053" width="2.5703125" style="172" customWidth="1"/>
    <col min="1054" max="1054" width="12.42578125" style="172" customWidth="1"/>
    <col min="1055" max="1055" width="13.5703125" style="172" customWidth="1"/>
    <col min="1056" max="1056" width="2.5703125" style="172" customWidth="1"/>
    <col min="1057" max="1057" width="11.5703125" style="172" customWidth="1"/>
    <col min="1058" max="1058" width="13" style="172" customWidth="1"/>
    <col min="1059" max="1059" width="1.42578125" style="172" customWidth="1"/>
    <col min="1060" max="1060" width="10.5703125" style="172" customWidth="1"/>
    <col min="1061" max="1292" width="11" style="172"/>
    <col min="1293" max="1293" width="1.5703125" style="172" customWidth="1"/>
    <col min="1294" max="1294" width="8.5703125" style="172" customWidth="1"/>
    <col min="1295" max="1295" width="28.7109375" style="172" customWidth="1"/>
    <col min="1296" max="1296" width="26.5703125" style="172" customWidth="1"/>
    <col min="1297" max="1297" width="7.7109375" style="172" customWidth="1"/>
    <col min="1298" max="1298" width="19.42578125" style="172" customWidth="1"/>
    <col min="1299" max="1299" width="44.28515625" style="172" customWidth="1"/>
    <col min="1300" max="1300" width="17" style="172" customWidth="1"/>
    <col min="1301" max="1301" width="15.5703125" style="172" customWidth="1"/>
    <col min="1302" max="1302" width="14.140625" style="172" customWidth="1"/>
    <col min="1303" max="1303" width="1.7109375" style="172" customWidth="1"/>
    <col min="1304" max="1304" width="13.7109375" style="172" customWidth="1"/>
    <col min="1305" max="1305" width="13.85546875" style="172" bestFit="1" customWidth="1"/>
    <col min="1306" max="1306" width="2.5703125" style="172" customWidth="1"/>
    <col min="1307" max="1307" width="12.42578125" style="172" customWidth="1"/>
    <col min="1308" max="1308" width="13.5703125" style="172" customWidth="1"/>
    <col min="1309" max="1309" width="2.5703125" style="172" customWidth="1"/>
    <col min="1310" max="1310" width="12.42578125" style="172" customWidth="1"/>
    <col min="1311" max="1311" width="13.5703125" style="172" customWidth="1"/>
    <col min="1312" max="1312" width="2.5703125" style="172" customWidth="1"/>
    <col min="1313" max="1313" width="11.5703125" style="172" customWidth="1"/>
    <col min="1314" max="1314" width="13" style="172" customWidth="1"/>
    <col min="1315" max="1315" width="1.42578125" style="172" customWidth="1"/>
    <col min="1316" max="1316" width="10.5703125" style="172" customWidth="1"/>
    <col min="1317" max="1548" width="11" style="172"/>
    <col min="1549" max="1549" width="1.5703125" style="172" customWidth="1"/>
    <col min="1550" max="1550" width="8.5703125" style="172" customWidth="1"/>
    <col min="1551" max="1551" width="28.7109375" style="172" customWidth="1"/>
    <col min="1552" max="1552" width="26.5703125" style="172" customWidth="1"/>
    <col min="1553" max="1553" width="7.7109375" style="172" customWidth="1"/>
    <col min="1554" max="1554" width="19.42578125" style="172" customWidth="1"/>
    <col min="1555" max="1555" width="44.28515625" style="172" customWidth="1"/>
    <col min="1556" max="1556" width="17" style="172" customWidth="1"/>
    <col min="1557" max="1557" width="15.5703125" style="172" customWidth="1"/>
    <col min="1558" max="1558" width="14.140625" style="172" customWidth="1"/>
    <col min="1559" max="1559" width="1.7109375" style="172" customWidth="1"/>
    <col min="1560" max="1560" width="13.7109375" style="172" customWidth="1"/>
    <col min="1561" max="1561" width="13.85546875" style="172" bestFit="1" customWidth="1"/>
    <col min="1562" max="1562" width="2.5703125" style="172" customWidth="1"/>
    <col min="1563" max="1563" width="12.42578125" style="172" customWidth="1"/>
    <col min="1564" max="1564" width="13.5703125" style="172" customWidth="1"/>
    <col min="1565" max="1565" width="2.5703125" style="172" customWidth="1"/>
    <col min="1566" max="1566" width="12.42578125" style="172" customWidth="1"/>
    <col min="1567" max="1567" width="13.5703125" style="172" customWidth="1"/>
    <col min="1568" max="1568" width="2.5703125" style="172" customWidth="1"/>
    <col min="1569" max="1569" width="11.5703125" style="172" customWidth="1"/>
    <col min="1570" max="1570" width="13" style="172" customWidth="1"/>
    <col min="1571" max="1571" width="1.42578125" style="172" customWidth="1"/>
    <col min="1572" max="1572" width="10.5703125" style="172" customWidth="1"/>
    <col min="1573" max="1804" width="11" style="172"/>
    <col min="1805" max="1805" width="1.5703125" style="172" customWidth="1"/>
    <col min="1806" max="1806" width="8.5703125" style="172" customWidth="1"/>
    <col min="1807" max="1807" width="28.7109375" style="172" customWidth="1"/>
    <col min="1808" max="1808" width="26.5703125" style="172" customWidth="1"/>
    <col min="1809" max="1809" width="7.7109375" style="172" customWidth="1"/>
    <col min="1810" max="1810" width="19.42578125" style="172" customWidth="1"/>
    <col min="1811" max="1811" width="44.28515625" style="172" customWidth="1"/>
    <col min="1812" max="1812" width="17" style="172" customWidth="1"/>
    <col min="1813" max="1813" width="15.5703125" style="172" customWidth="1"/>
    <col min="1814" max="1814" width="14.140625" style="172" customWidth="1"/>
    <col min="1815" max="1815" width="1.7109375" style="172" customWidth="1"/>
    <col min="1816" max="1816" width="13.7109375" style="172" customWidth="1"/>
    <col min="1817" max="1817" width="13.85546875" style="172" bestFit="1" customWidth="1"/>
    <col min="1818" max="1818" width="2.5703125" style="172" customWidth="1"/>
    <col min="1819" max="1819" width="12.42578125" style="172" customWidth="1"/>
    <col min="1820" max="1820" width="13.5703125" style="172" customWidth="1"/>
    <col min="1821" max="1821" width="2.5703125" style="172" customWidth="1"/>
    <col min="1822" max="1822" width="12.42578125" style="172" customWidth="1"/>
    <col min="1823" max="1823" width="13.5703125" style="172" customWidth="1"/>
    <col min="1824" max="1824" width="2.5703125" style="172" customWidth="1"/>
    <col min="1825" max="1825" width="11.5703125" style="172" customWidth="1"/>
    <col min="1826" max="1826" width="13" style="172" customWidth="1"/>
    <col min="1827" max="1827" width="1.42578125" style="172" customWidth="1"/>
    <col min="1828" max="1828" width="10.5703125" style="172" customWidth="1"/>
    <col min="1829" max="2060" width="11" style="172"/>
    <col min="2061" max="2061" width="1.5703125" style="172" customWidth="1"/>
    <col min="2062" max="2062" width="8.5703125" style="172" customWidth="1"/>
    <col min="2063" max="2063" width="28.7109375" style="172" customWidth="1"/>
    <col min="2064" max="2064" width="26.5703125" style="172" customWidth="1"/>
    <col min="2065" max="2065" width="7.7109375" style="172" customWidth="1"/>
    <col min="2066" max="2066" width="19.42578125" style="172" customWidth="1"/>
    <col min="2067" max="2067" width="44.28515625" style="172" customWidth="1"/>
    <col min="2068" max="2068" width="17" style="172" customWidth="1"/>
    <col min="2069" max="2069" width="15.5703125" style="172" customWidth="1"/>
    <col min="2070" max="2070" width="14.140625" style="172" customWidth="1"/>
    <col min="2071" max="2071" width="1.7109375" style="172" customWidth="1"/>
    <col min="2072" max="2072" width="13.7109375" style="172" customWidth="1"/>
    <col min="2073" max="2073" width="13.85546875" style="172" bestFit="1" customWidth="1"/>
    <col min="2074" max="2074" width="2.5703125" style="172" customWidth="1"/>
    <col min="2075" max="2075" width="12.42578125" style="172" customWidth="1"/>
    <col min="2076" max="2076" width="13.5703125" style="172" customWidth="1"/>
    <col min="2077" max="2077" width="2.5703125" style="172" customWidth="1"/>
    <col min="2078" max="2078" width="12.42578125" style="172" customWidth="1"/>
    <col min="2079" max="2079" width="13.5703125" style="172" customWidth="1"/>
    <col min="2080" max="2080" width="2.5703125" style="172" customWidth="1"/>
    <col min="2081" max="2081" width="11.5703125" style="172" customWidth="1"/>
    <col min="2082" max="2082" width="13" style="172" customWidth="1"/>
    <col min="2083" max="2083" width="1.42578125" style="172" customWidth="1"/>
    <col min="2084" max="2084" width="10.5703125" style="172" customWidth="1"/>
    <col min="2085" max="2316" width="11" style="172"/>
    <col min="2317" max="2317" width="1.5703125" style="172" customWidth="1"/>
    <col min="2318" max="2318" width="8.5703125" style="172" customWidth="1"/>
    <col min="2319" max="2319" width="28.7109375" style="172" customWidth="1"/>
    <col min="2320" max="2320" width="26.5703125" style="172" customWidth="1"/>
    <col min="2321" max="2321" width="7.7109375" style="172" customWidth="1"/>
    <col min="2322" max="2322" width="19.42578125" style="172" customWidth="1"/>
    <col min="2323" max="2323" width="44.28515625" style="172" customWidth="1"/>
    <col min="2324" max="2324" width="17" style="172" customWidth="1"/>
    <col min="2325" max="2325" width="15.5703125" style="172" customWidth="1"/>
    <col min="2326" max="2326" width="14.140625" style="172" customWidth="1"/>
    <col min="2327" max="2327" width="1.7109375" style="172" customWidth="1"/>
    <col min="2328" max="2328" width="13.7109375" style="172" customWidth="1"/>
    <col min="2329" max="2329" width="13.85546875" style="172" bestFit="1" customWidth="1"/>
    <col min="2330" max="2330" width="2.5703125" style="172" customWidth="1"/>
    <col min="2331" max="2331" width="12.42578125" style="172" customWidth="1"/>
    <col min="2332" max="2332" width="13.5703125" style="172" customWidth="1"/>
    <col min="2333" max="2333" width="2.5703125" style="172" customWidth="1"/>
    <col min="2334" max="2334" width="12.42578125" style="172" customWidth="1"/>
    <col min="2335" max="2335" width="13.5703125" style="172" customWidth="1"/>
    <col min="2336" max="2336" width="2.5703125" style="172" customWidth="1"/>
    <col min="2337" max="2337" width="11.5703125" style="172" customWidth="1"/>
    <col min="2338" max="2338" width="13" style="172" customWidth="1"/>
    <col min="2339" max="2339" width="1.42578125" style="172" customWidth="1"/>
    <col min="2340" max="2340" width="10.5703125" style="172" customWidth="1"/>
    <col min="2341" max="2572" width="11" style="172"/>
    <col min="2573" max="2573" width="1.5703125" style="172" customWidth="1"/>
    <col min="2574" max="2574" width="8.5703125" style="172" customWidth="1"/>
    <col min="2575" max="2575" width="28.7109375" style="172" customWidth="1"/>
    <col min="2576" max="2576" width="26.5703125" style="172" customWidth="1"/>
    <col min="2577" max="2577" width="7.7109375" style="172" customWidth="1"/>
    <col min="2578" max="2578" width="19.42578125" style="172" customWidth="1"/>
    <col min="2579" max="2579" width="44.28515625" style="172" customWidth="1"/>
    <col min="2580" max="2580" width="17" style="172" customWidth="1"/>
    <col min="2581" max="2581" width="15.5703125" style="172" customWidth="1"/>
    <col min="2582" max="2582" width="14.140625" style="172" customWidth="1"/>
    <col min="2583" max="2583" width="1.7109375" style="172" customWidth="1"/>
    <col min="2584" max="2584" width="13.7109375" style="172" customWidth="1"/>
    <col min="2585" max="2585" width="13.85546875" style="172" bestFit="1" customWidth="1"/>
    <col min="2586" max="2586" width="2.5703125" style="172" customWidth="1"/>
    <col min="2587" max="2587" width="12.42578125" style="172" customWidth="1"/>
    <col min="2588" max="2588" width="13.5703125" style="172" customWidth="1"/>
    <col min="2589" max="2589" width="2.5703125" style="172" customWidth="1"/>
    <col min="2590" max="2590" width="12.42578125" style="172" customWidth="1"/>
    <col min="2591" max="2591" width="13.5703125" style="172" customWidth="1"/>
    <col min="2592" max="2592" width="2.5703125" style="172" customWidth="1"/>
    <col min="2593" max="2593" width="11.5703125" style="172" customWidth="1"/>
    <col min="2594" max="2594" width="13" style="172" customWidth="1"/>
    <col min="2595" max="2595" width="1.42578125" style="172" customWidth="1"/>
    <col min="2596" max="2596" width="10.5703125" style="172" customWidth="1"/>
    <col min="2597" max="2828" width="11" style="172"/>
    <col min="2829" max="2829" width="1.5703125" style="172" customWidth="1"/>
    <col min="2830" max="2830" width="8.5703125" style="172" customWidth="1"/>
    <col min="2831" max="2831" width="28.7109375" style="172" customWidth="1"/>
    <col min="2832" max="2832" width="26.5703125" style="172" customWidth="1"/>
    <col min="2833" max="2833" width="7.7109375" style="172" customWidth="1"/>
    <col min="2834" max="2834" width="19.42578125" style="172" customWidth="1"/>
    <col min="2835" max="2835" width="44.28515625" style="172" customWidth="1"/>
    <col min="2836" max="2836" width="17" style="172" customWidth="1"/>
    <col min="2837" max="2837" width="15.5703125" style="172" customWidth="1"/>
    <col min="2838" max="2838" width="14.140625" style="172" customWidth="1"/>
    <col min="2839" max="2839" width="1.7109375" style="172" customWidth="1"/>
    <col min="2840" max="2840" width="13.7109375" style="172" customWidth="1"/>
    <col min="2841" max="2841" width="13.85546875" style="172" bestFit="1" customWidth="1"/>
    <col min="2842" max="2842" width="2.5703125" style="172" customWidth="1"/>
    <col min="2843" max="2843" width="12.42578125" style="172" customWidth="1"/>
    <col min="2844" max="2844" width="13.5703125" style="172" customWidth="1"/>
    <col min="2845" max="2845" width="2.5703125" style="172" customWidth="1"/>
    <col min="2846" max="2846" width="12.42578125" style="172" customWidth="1"/>
    <col min="2847" max="2847" width="13.5703125" style="172" customWidth="1"/>
    <col min="2848" max="2848" width="2.5703125" style="172" customWidth="1"/>
    <col min="2849" max="2849" width="11.5703125" style="172" customWidth="1"/>
    <col min="2850" max="2850" width="13" style="172" customWidth="1"/>
    <col min="2851" max="2851" width="1.42578125" style="172" customWidth="1"/>
    <col min="2852" max="2852" width="10.5703125" style="172" customWidth="1"/>
    <col min="2853" max="3084" width="11" style="172"/>
    <col min="3085" max="3085" width="1.5703125" style="172" customWidth="1"/>
    <col min="3086" max="3086" width="8.5703125" style="172" customWidth="1"/>
    <col min="3087" max="3087" width="28.7109375" style="172" customWidth="1"/>
    <col min="3088" max="3088" width="26.5703125" style="172" customWidth="1"/>
    <col min="3089" max="3089" width="7.7109375" style="172" customWidth="1"/>
    <col min="3090" max="3090" width="19.42578125" style="172" customWidth="1"/>
    <col min="3091" max="3091" width="44.28515625" style="172" customWidth="1"/>
    <col min="3092" max="3092" width="17" style="172" customWidth="1"/>
    <col min="3093" max="3093" width="15.5703125" style="172" customWidth="1"/>
    <col min="3094" max="3094" width="14.140625" style="172" customWidth="1"/>
    <col min="3095" max="3095" width="1.7109375" style="172" customWidth="1"/>
    <col min="3096" max="3096" width="13.7109375" style="172" customWidth="1"/>
    <col min="3097" max="3097" width="13.85546875" style="172" bestFit="1" customWidth="1"/>
    <col min="3098" max="3098" width="2.5703125" style="172" customWidth="1"/>
    <col min="3099" max="3099" width="12.42578125" style="172" customWidth="1"/>
    <col min="3100" max="3100" width="13.5703125" style="172" customWidth="1"/>
    <col min="3101" max="3101" width="2.5703125" style="172" customWidth="1"/>
    <col min="3102" max="3102" width="12.42578125" style="172" customWidth="1"/>
    <col min="3103" max="3103" width="13.5703125" style="172" customWidth="1"/>
    <col min="3104" max="3104" width="2.5703125" style="172" customWidth="1"/>
    <col min="3105" max="3105" width="11.5703125" style="172" customWidth="1"/>
    <col min="3106" max="3106" width="13" style="172" customWidth="1"/>
    <col min="3107" max="3107" width="1.42578125" style="172" customWidth="1"/>
    <col min="3108" max="3108" width="10.5703125" style="172" customWidth="1"/>
    <col min="3109" max="3340" width="11" style="172"/>
    <col min="3341" max="3341" width="1.5703125" style="172" customWidth="1"/>
    <col min="3342" max="3342" width="8.5703125" style="172" customWidth="1"/>
    <col min="3343" max="3343" width="28.7109375" style="172" customWidth="1"/>
    <col min="3344" max="3344" width="26.5703125" style="172" customWidth="1"/>
    <col min="3345" max="3345" width="7.7109375" style="172" customWidth="1"/>
    <col min="3346" max="3346" width="19.42578125" style="172" customWidth="1"/>
    <col min="3347" max="3347" width="44.28515625" style="172" customWidth="1"/>
    <col min="3348" max="3348" width="17" style="172" customWidth="1"/>
    <col min="3349" max="3349" width="15.5703125" style="172" customWidth="1"/>
    <col min="3350" max="3350" width="14.140625" style="172" customWidth="1"/>
    <col min="3351" max="3351" width="1.7109375" style="172" customWidth="1"/>
    <col min="3352" max="3352" width="13.7109375" style="172" customWidth="1"/>
    <col min="3353" max="3353" width="13.85546875" style="172" bestFit="1" customWidth="1"/>
    <col min="3354" max="3354" width="2.5703125" style="172" customWidth="1"/>
    <col min="3355" max="3355" width="12.42578125" style="172" customWidth="1"/>
    <col min="3356" max="3356" width="13.5703125" style="172" customWidth="1"/>
    <col min="3357" max="3357" width="2.5703125" style="172" customWidth="1"/>
    <col min="3358" max="3358" width="12.42578125" style="172" customWidth="1"/>
    <col min="3359" max="3359" width="13.5703125" style="172" customWidth="1"/>
    <col min="3360" max="3360" width="2.5703125" style="172" customWidth="1"/>
    <col min="3361" max="3361" width="11.5703125" style="172" customWidth="1"/>
    <col min="3362" max="3362" width="13" style="172" customWidth="1"/>
    <col min="3363" max="3363" width="1.42578125" style="172" customWidth="1"/>
    <col min="3364" max="3364" width="10.5703125" style="172" customWidth="1"/>
    <col min="3365" max="3596" width="11" style="172"/>
    <col min="3597" max="3597" width="1.5703125" style="172" customWidth="1"/>
    <col min="3598" max="3598" width="8.5703125" style="172" customWidth="1"/>
    <col min="3599" max="3599" width="28.7109375" style="172" customWidth="1"/>
    <col min="3600" max="3600" width="26.5703125" style="172" customWidth="1"/>
    <col min="3601" max="3601" width="7.7109375" style="172" customWidth="1"/>
    <col min="3602" max="3602" width="19.42578125" style="172" customWidth="1"/>
    <col min="3603" max="3603" width="44.28515625" style="172" customWidth="1"/>
    <col min="3604" max="3604" width="17" style="172" customWidth="1"/>
    <col min="3605" max="3605" width="15.5703125" style="172" customWidth="1"/>
    <col min="3606" max="3606" width="14.140625" style="172" customWidth="1"/>
    <col min="3607" max="3607" width="1.7109375" style="172" customWidth="1"/>
    <col min="3608" max="3608" width="13.7109375" style="172" customWidth="1"/>
    <col min="3609" max="3609" width="13.85546875" style="172" bestFit="1" customWidth="1"/>
    <col min="3610" max="3610" width="2.5703125" style="172" customWidth="1"/>
    <col min="3611" max="3611" width="12.42578125" style="172" customWidth="1"/>
    <col min="3612" max="3612" width="13.5703125" style="172" customWidth="1"/>
    <col min="3613" max="3613" width="2.5703125" style="172" customWidth="1"/>
    <col min="3614" max="3614" width="12.42578125" style="172" customWidth="1"/>
    <col min="3615" max="3615" width="13.5703125" style="172" customWidth="1"/>
    <col min="3616" max="3616" width="2.5703125" style="172" customWidth="1"/>
    <col min="3617" max="3617" width="11.5703125" style="172" customWidth="1"/>
    <col min="3618" max="3618" width="13" style="172" customWidth="1"/>
    <col min="3619" max="3619" width="1.42578125" style="172" customWidth="1"/>
    <col min="3620" max="3620" width="10.5703125" style="172" customWidth="1"/>
    <col min="3621" max="3852" width="11" style="172"/>
    <col min="3853" max="3853" width="1.5703125" style="172" customWidth="1"/>
    <col min="3854" max="3854" width="8.5703125" style="172" customWidth="1"/>
    <col min="3855" max="3855" width="28.7109375" style="172" customWidth="1"/>
    <col min="3856" max="3856" width="26.5703125" style="172" customWidth="1"/>
    <col min="3857" max="3857" width="7.7109375" style="172" customWidth="1"/>
    <col min="3858" max="3858" width="19.42578125" style="172" customWidth="1"/>
    <col min="3859" max="3859" width="44.28515625" style="172" customWidth="1"/>
    <col min="3860" max="3860" width="17" style="172" customWidth="1"/>
    <col min="3861" max="3861" width="15.5703125" style="172" customWidth="1"/>
    <col min="3862" max="3862" width="14.140625" style="172" customWidth="1"/>
    <col min="3863" max="3863" width="1.7109375" style="172" customWidth="1"/>
    <col min="3864" max="3864" width="13.7109375" style="172" customWidth="1"/>
    <col min="3865" max="3865" width="13.85546875" style="172" bestFit="1" customWidth="1"/>
    <col min="3866" max="3866" width="2.5703125" style="172" customWidth="1"/>
    <col min="3867" max="3867" width="12.42578125" style="172" customWidth="1"/>
    <col min="3868" max="3868" width="13.5703125" style="172" customWidth="1"/>
    <col min="3869" max="3869" width="2.5703125" style="172" customWidth="1"/>
    <col min="3870" max="3870" width="12.42578125" style="172" customWidth="1"/>
    <col min="3871" max="3871" width="13.5703125" style="172" customWidth="1"/>
    <col min="3872" max="3872" width="2.5703125" style="172" customWidth="1"/>
    <col min="3873" max="3873" width="11.5703125" style="172" customWidth="1"/>
    <col min="3874" max="3874" width="13" style="172" customWidth="1"/>
    <col min="3875" max="3875" width="1.42578125" style="172" customWidth="1"/>
    <col min="3876" max="3876" width="10.5703125" style="172" customWidth="1"/>
    <col min="3877" max="4108" width="11" style="172"/>
    <col min="4109" max="4109" width="1.5703125" style="172" customWidth="1"/>
    <col min="4110" max="4110" width="8.5703125" style="172" customWidth="1"/>
    <col min="4111" max="4111" width="28.7109375" style="172" customWidth="1"/>
    <col min="4112" max="4112" width="26.5703125" style="172" customWidth="1"/>
    <col min="4113" max="4113" width="7.7109375" style="172" customWidth="1"/>
    <col min="4114" max="4114" width="19.42578125" style="172" customWidth="1"/>
    <col min="4115" max="4115" width="44.28515625" style="172" customWidth="1"/>
    <col min="4116" max="4116" width="17" style="172" customWidth="1"/>
    <col min="4117" max="4117" width="15.5703125" style="172" customWidth="1"/>
    <col min="4118" max="4118" width="14.140625" style="172" customWidth="1"/>
    <col min="4119" max="4119" width="1.7109375" style="172" customWidth="1"/>
    <col min="4120" max="4120" width="13.7109375" style="172" customWidth="1"/>
    <col min="4121" max="4121" width="13.85546875" style="172" bestFit="1" customWidth="1"/>
    <col min="4122" max="4122" width="2.5703125" style="172" customWidth="1"/>
    <col min="4123" max="4123" width="12.42578125" style="172" customWidth="1"/>
    <col min="4124" max="4124" width="13.5703125" style="172" customWidth="1"/>
    <col min="4125" max="4125" width="2.5703125" style="172" customWidth="1"/>
    <col min="4126" max="4126" width="12.42578125" style="172" customWidth="1"/>
    <col min="4127" max="4127" width="13.5703125" style="172" customWidth="1"/>
    <col min="4128" max="4128" width="2.5703125" style="172" customWidth="1"/>
    <col min="4129" max="4129" width="11.5703125" style="172" customWidth="1"/>
    <col min="4130" max="4130" width="13" style="172" customWidth="1"/>
    <col min="4131" max="4131" width="1.42578125" style="172" customWidth="1"/>
    <col min="4132" max="4132" width="10.5703125" style="172" customWidth="1"/>
    <col min="4133" max="4364" width="11" style="172"/>
    <col min="4365" max="4365" width="1.5703125" style="172" customWidth="1"/>
    <col min="4366" max="4366" width="8.5703125" style="172" customWidth="1"/>
    <col min="4367" max="4367" width="28.7109375" style="172" customWidth="1"/>
    <col min="4368" max="4368" width="26.5703125" style="172" customWidth="1"/>
    <col min="4369" max="4369" width="7.7109375" style="172" customWidth="1"/>
    <col min="4370" max="4370" width="19.42578125" style="172" customWidth="1"/>
    <col min="4371" max="4371" width="44.28515625" style="172" customWidth="1"/>
    <col min="4372" max="4372" width="17" style="172" customWidth="1"/>
    <col min="4373" max="4373" width="15.5703125" style="172" customWidth="1"/>
    <col min="4374" max="4374" width="14.140625" style="172" customWidth="1"/>
    <col min="4375" max="4375" width="1.7109375" style="172" customWidth="1"/>
    <col min="4376" max="4376" width="13.7109375" style="172" customWidth="1"/>
    <col min="4377" max="4377" width="13.85546875" style="172" bestFit="1" customWidth="1"/>
    <col min="4378" max="4378" width="2.5703125" style="172" customWidth="1"/>
    <col min="4379" max="4379" width="12.42578125" style="172" customWidth="1"/>
    <col min="4380" max="4380" width="13.5703125" style="172" customWidth="1"/>
    <col min="4381" max="4381" width="2.5703125" style="172" customWidth="1"/>
    <col min="4382" max="4382" width="12.42578125" style="172" customWidth="1"/>
    <col min="4383" max="4383" width="13.5703125" style="172" customWidth="1"/>
    <col min="4384" max="4384" width="2.5703125" style="172" customWidth="1"/>
    <col min="4385" max="4385" width="11.5703125" style="172" customWidth="1"/>
    <col min="4386" max="4386" width="13" style="172" customWidth="1"/>
    <col min="4387" max="4387" width="1.42578125" style="172" customWidth="1"/>
    <col min="4388" max="4388" width="10.5703125" style="172" customWidth="1"/>
    <col min="4389" max="4620" width="11" style="172"/>
    <col min="4621" max="4621" width="1.5703125" style="172" customWidth="1"/>
    <col min="4622" max="4622" width="8.5703125" style="172" customWidth="1"/>
    <col min="4623" max="4623" width="28.7109375" style="172" customWidth="1"/>
    <col min="4624" max="4624" width="26.5703125" style="172" customWidth="1"/>
    <col min="4625" max="4625" width="7.7109375" style="172" customWidth="1"/>
    <col min="4626" max="4626" width="19.42578125" style="172" customWidth="1"/>
    <col min="4627" max="4627" width="44.28515625" style="172" customWidth="1"/>
    <col min="4628" max="4628" width="17" style="172" customWidth="1"/>
    <col min="4629" max="4629" width="15.5703125" style="172" customWidth="1"/>
    <col min="4630" max="4630" width="14.140625" style="172" customWidth="1"/>
    <col min="4631" max="4631" width="1.7109375" style="172" customWidth="1"/>
    <col min="4632" max="4632" width="13.7109375" style="172" customWidth="1"/>
    <col min="4633" max="4633" width="13.85546875" style="172" bestFit="1" customWidth="1"/>
    <col min="4634" max="4634" width="2.5703125" style="172" customWidth="1"/>
    <col min="4635" max="4635" width="12.42578125" style="172" customWidth="1"/>
    <col min="4636" max="4636" width="13.5703125" style="172" customWidth="1"/>
    <col min="4637" max="4637" width="2.5703125" style="172" customWidth="1"/>
    <col min="4638" max="4638" width="12.42578125" style="172" customWidth="1"/>
    <col min="4639" max="4639" width="13.5703125" style="172" customWidth="1"/>
    <col min="4640" max="4640" width="2.5703125" style="172" customWidth="1"/>
    <col min="4641" max="4641" width="11.5703125" style="172" customWidth="1"/>
    <col min="4642" max="4642" width="13" style="172" customWidth="1"/>
    <col min="4643" max="4643" width="1.42578125" style="172" customWidth="1"/>
    <col min="4644" max="4644" width="10.5703125" style="172" customWidth="1"/>
    <col min="4645" max="4876" width="11" style="172"/>
    <col min="4877" max="4877" width="1.5703125" style="172" customWidth="1"/>
    <col min="4878" max="4878" width="8.5703125" style="172" customWidth="1"/>
    <col min="4879" max="4879" width="28.7109375" style="172" customWidth="1"/>
    <col min="4880" max="4880" width="26.5703125" style="172" customWidth="1"/>
    <col min="4881" max="4881" width="7.7109375" style="172" customWidth="1"/>
    <col min="4882" max="4882" width="19.42578125" style="172" customWidth="1"/>
    <col min="4883" max="4883" width="44.28515625" style="172" customWidth="1"/>
    <col min="4884" max="4884" width="17" style="172" customWidth="1"/>
    <col min="4885" max="4885" width="15.5703125" style="172" customWidth="1"/>
    <col min="4886" max="4886" width="14.140625" style="172" customWidth="1"/>
    <col min="4887" max="4887" width="1.7109375" style="172" customWidth="1"/>
    <col min="4888" max="4888" width="13.7109375" style="172" customWidth="1"/>
    <col min="4889" max="4889" width="13.85546875" style="172" bestFit="1" customWidth="1"/>
    <col min="4890" max="4890" width="2.5703125" style="172" customWidth="1"/>
    <col min="4891" max="4891" width="12.42578125" style="172" customWidth="1"/>
    <col min="4892" max="4892" width="13.5703125" style="172" customWidth="1"/>
    <col min="4893" max="4893" width="2.5703125" style="172" customWidth="1"/>
    <col min="4894" max="4894" width="12.42578125" style="172" customWidth="1"/>
    <col min="4895" max="4895" width="13.5703125" style="172" customWidth="1"/>
    <col min="4896" max="4896" width="2.5703125" style="172" customWidth="1"/>
    <col min="4897" max="4897" width="11.5703125" style="172" customWidth="1"/>
    <col min="4898" max="4898" width="13" style="172" customWidth="1"/>
    <col min="4899" max="4899" width="1.42578125" style="172" customWidth="1"/>
    <col min="4900" max="4900" width="10.5703125" style="172" customWidth="1"/>
    <col min="4901" max="5132" width="11" style="172"/>
    <col min="5133" max="5133" width="1.5703125" style="172" customWidth="1"/>
    <col min="5134" max="5134" width="8.5703125" style="172" customWidth="1"/>
    <col min="5135" max="5135" width="28.7109375" style="172" customWidth="1"/>
    <col min="5136" max="5136" width="26.5703125" style="172" customWidth="1"/>
    <col min="5137" max="5137" width="7.7109375" style="172" customWidth="1"/>
    <col min="5138" max="5138" width="19.42578125" style="172" customWidth="1"/>
    <col min="5139" max="5139" width="44.28515625" style="172" customWidth="1"/>
    <col min="5140" max="5140" width="17" style="172" customWidth="1"/>
    <col min="5141" max="5141" width="15.5703125" style="172" customWidth="1"/>
    <col min="5142" max="5142" width="14.140625" style="172" customWidth="1"/>
    <col min="5143" max="5143" width="1.7109375" style="172" customWidth="1"/>
    <col min="5144" max="5144" width="13.7109375" style="172" customWidth="1"/>
    <col min="5145" max="5145" width="13.85546875" style="172" bestFit="1" customWidth="1"/>
    <col min="5146" max="5146" width="2.5703125" style="172" customWidth="1"/>
    <col min="5147" max="5147" width="12.42578125" style="172" customWidth="1"/>
    <col min="5148" max="5148" width="13.5703125" style="172" customWidth="1"/>
    <col min="5149" max="5149" width="2.5703125" style="172" customWidth="1"/>
    <col min="5150" max="5150" width="12.42578125" style="172" customWidth="1"/>
    <col min="5151" max="5151" width="13.5703125" style="172" customWidth="1"/>
    <col min="5152" max="5152" width="2.5703125" style="172" customWidth="1"/>
    <col min="5153" max="5153" width="11.5703125" style="172" customWidth="1"/>
    <col min="5154" max="5154" width="13" style="172" customWidth="1"/>
    <col min="5155" max="5155" width="1.42578125" style="172" customWidth="1"/>
    <col min="5156" max="5156" width="10.5703125" style="172" customWidth="1"/>
    <col min="5157" max="5388" width="11" style="172"/>
    <col min="5389" max="5389" width="1.5703125" style="172" customWidth="1"/>
    <col min="5390" max="5390" width="8.5703125" style="172" customWidth="1"/>
    <col min="5391" max="5391" width="28.7109375" style="172" customWidth="1"/>
    <col min="5392" max="5392" width="26.5703125" style="172" customWidth="1"/>
    <col min="5393" max="5393" width="7.7109375" style="172" customWidth="1"/>
    <col min="5394" max="5394" width="19.42578125" style="172" customWidth="1"/>
    <col min="5395" max="5395" width="44.28515625" style="172" customWidth="1"/>
    <col min="5396" max="5396" width="17" style="172" customWidth="1"/>
    <col min="5397" max="5397" width="15.5703125" style="172" customWidth="1"/>
    <col min="5398" max="5398" width="14.140625" style="172" customWidth="1"/>
    <col min="5399" max="5399" width="1.7109375" style="172" customWidth="1"/>
    <col min="5400" max="5400" width="13.7109375" style="172" customWidth="1"/>
    <col min="5401" max="5401" width="13.85546875" style="172" bestFit="1" customWidth="1"/>
    <col min="5402" max="5402" width="2.5703125" style="172" customWidth="1"/>
    <col min="5403" max="5403" width="12.42578125" style="172" customWidth="1"/>
    <col min="5404" max="5404" width="13.5703125" style="172" customWidth="1"/>
    <col min="5405" max="5405" width="2.5703125" style="172" customWidth="1"/>
    <col min="5406" max="5406" width="12.42578125" style="172" customWidth="1"/>
    <col min="5407" max="5407" width="13.5703125" style="172" customWidth="1"/>
    <col min="5408" max="5408" width="2.5703125" style="172" customWidth="1"/>
    <col min="5409" max="5409" width="11.5703125" style="172" customWidth="1"/>
    <col min="5410" max="5410" width="13" style="172" customWidth="1"/>
    <col min="5411" max="5411" width="1.42578125" style="172" customWidth="1"/>
    <col min="5412" max="5412" width="10.5703125" style="172" customWidth="1"/>
    <col min="5413" max="5644" width="11" style="172"/>
    <col min="5645" max="5645" width="1.5703125" style="172" customWidth="1"/>
    <col min="5646" max="5646" width="8.5703125" style="172" customWidth="1"/>
    <col min="5647" max="5647" width="28.7109375" style="172" customWidth="1"/>
    <col min="5648" max="5648" width="26.5703125" style="172" customWidth="1"/>
    <col min="5649" max="5649" width="7.7109375" style="172" customWidth="1"/>
    <col min="5650" max="5650" width="19.42578125" style="172" customWidth="1"/>
    <col min="5651" max="5651" width="44.28515625" style="172" customWidth="1"/>
    <col min="5652" max="5652" width="17" style="172" customWidth="1"/>
    <col min="5653" max="5653" width="15.5703125" style="172" customWidth="1"/>
    <col min="5654" max="5654" width="14.140625" style="172" customWidth="1"/>
    <col min="5655" max="5655" width="1.7109375" style="172" customWidth="1"/>
    <col min="5656" max="5656" width="13.7109375" style="172" customWidth="1"/>
    <col min="5657" max="5657" width="13.85546875" style="172" bestFit="1" customWidth="1"/>
    <col min="5658" max="5658" width="2.5703125" style="172" customWidth="1"/>
    <col min="5659" max="5659" width="12.42578125" style="172" customWidth="1"/>
    <col min="5660" max="5660" width="13.5703125" style="172" customWidth="1"/>
    <col min="5661" max="5661" width="2.5703125" style="172" customWidth="1"/>
    <col min="5662" max="5662" width="12.42578125" style="172" customWidth="1"/>
    <col min="5663" max="5663" width="13.5703125" style="172" customWidth="1"/>
    <col min="5664" max="5664" width="2.5703125" style="172" customWidth="1"/>
    <col min="5665" max="5665" width="11.5703125" style="172" customWidth="1"/>
    <col min="5666" max="5666" width="13" style="172" customWidth="1"/>
    <col min="5667" max="5667" width="1.42578125" style="172" customWidth="1"/>
    <col min="5668" max="5668" width="10.5703125" style="172" customWidth="1"/>
    <col min="5669" max="5900" width="11" style="172"/>
    <col min="5901" max="5901" width="1.5703125" style="172" customWidth="1"/>
    <col min="5902" max="5902" width="8.5703125" style="172" customWidth="1"/>
    <col min="5903" max="5903" width="28.7109375" style="172" customWidth="1"/>
    <col min="5904" max="5904" width="26.5703125" style="172" customWidth="1"/>
    <col min="5905" max="5905" width="7.7109375" style="172" customWidth="1"/>
    <col min="5906" max="5906" width="19.42578125" style="172" customWidth="1"/>
    <col min="5907" max="5907" width="44.28515625" style="172" customWidth="1"/>
    <col min="5908" max="5908" width="17" style="172" customWidth="1"/>
    <col min="5909" max="5909" width="15.5703125" style="172" customWidth="1"/>
    <col min="5910" max="5910" width="14.140625" style="172" customWidth="1"/>
    <col min="5911" max="5911" width="1.7109375" style="172" customWidth="1"/>
    <col min="5912" max="5912" width="13.7109375" style="172" customWidth="1"/>
    <col min="5913" max="5913" width="13.85546875" style="172" bestFit="1" customWidth="1"/>
    <col min="5914" max="5914" width="2.5703125" style="172" customWidth="1"/>
    <col min="5915" max="5915" width="12.42578125" style="172" customWidth="1"/>
    <col min="5916" max="5916" width="13.5703125" style="172" customWidth="1"/>
    <col min="5917" max="5917" width="2.5703125" style="172" customWidth="1"/>
    <col min="5918" max="5918" width="12.42578125" style="172" customWidth="1"/>
    <col min="5919" max="5919" width="13.5703125" style="172" customWidth="1"/>
    <col min="5920" max="5920" width="2.5703125" style="172" customWidth="1"/>
    <col min="5921" max="5921" width="11.5703125" style="172" customWidth="1"/>
    <col min="5922" max="5922" width="13" style="172" customWidth="1"/>
    <col min="5923" max="5923" width="1.42578125" style="172" customWidth="1"/>
    <col min="5924" max="5924" width="10.5703125" style="172" customWidth="1"/>
    <col min="5925" max="6156" width="11" style="172"/>
    <col min="6157" max="6157" width="1.5703125" style="172" customWidth="1"/>
    <col min="6158" max="6158" width="8.5703125" style="172" customWidth="1"/>
    <col min="6159" max="6159" width="28.7109375" style="172" customWidth="1"/>
    <col min="6160" max="6160" width="26.5703125" style="172" customWidth="1"/>
    <col min="6161" max="6161" width="7.7109375" style="172" customWidth="1"/>
    <col min="6162" max="6162" width="19.42578125" style="172" customWidth="1"/>
    <col min="6163" max="6163" width="44.28515625" style="172" customWidth="1"/>
    <col min="6164" max="6164" width="17" style="172" customWidth="1"/>
    <col min="6165" max="6165" width="15.5703125" style="172" customWidth="1"/>
    <col min="6166" max="6166" width="14.140625" style="172" customWidth="1"/>
    <col min="6167" max="6167" width="1.7109375" style="172" customWidth="1"/>
    <col min="6168" max="6168" width="13.7109375" style="172" customWidth="1"/>
    <col min="6169" max="6169" width="13.85546875" style="172" bestFit="1" customWidth="1"/>
    <col min="6170" max="6170" width="2.5703125" style="172" customWidth="1"/>
    <col min="6171" max="6171" width="12.42578125" style="172" customWidth="1"/>
    <col min="6172" max="6172" width="13.5703125" style="172" customWidth="1"/>
    <col min="6173" max="6173" width="2.5703125" style="172" customWidth="1"/>
    <col min="6174" max="6174" width="12.42578125" style="172" customWidth="1"/>
    <col min="6175" max="6175" width="13.5703125" style="172" customWidth="1"/>
    <col min="6176" max="6176" width="2.5703125" style="172" customWidth="1"/>
    <col min="6177" max="6177" width="11.5703125" style="172" customWidth="1"/>
    <col min="6178" max="6178" width="13" style="172" customWidth="1"/>
    <col min="6179" max="6179" width="1.42578125" style="172" customWidth="1"/>
    <col min="6180" max="6180" width="10.5703125" style="172" customWidth="1"/>
    <col min="6181" max="6412" width="11" style="172"/>
    <col min="6413" max="6413" width="1.5703125" style="172" customWidth="1"/>
    <col min="6414" max="6414" width="8.5703125" style="172" customWidth="1"/>
    <col min="6415" max="6415" width="28.7109375" style="172" customWidth="1"/>
    <col min="6416" max="6416" width="26.5703125" style="172" customWidth="1"/>
    <col min="6417" max="6417" width="7.7109375" style="172" customWidth="1"/>
    <col min="6418" max="6418" width="19.42578125" style="172" customWidth="1"/>
    <col min="6419" max="6419" width="44.28515625" style="172" customWidth="1"/>
    <col min="6420" max="6420" width="17" style="172" customWidth="1"/>
    <col min="6421" max="6421" width="15.5703125" style="172" customWidth="1"/>
    <col min="6422" max="6422" width="14.140625" style="172" customWidth="1"/>
    <col min="6423" max="6423" width="1.7109375" style="172" customWidth="1"/>
    <col min="6424" max="6424" width="13.7109375" style="172" customWidth="1"/>
    <col min="6425" max="6425" width="13.85546875" style="172" bestFit="1" customWidth="1"/>
    <col min="6426" max="6426" width="2.5703125" style="172" customWidth="1"/>
    <col min="6427" max="6427" width="12.42578125" style="172" customWidth="1"/>
    <col min="6428" max="6428" width="13.5703125" style="172" customWidth="1"/>
    <col min="6429" max="6429" width="2.5703125" style="172" customWidth="1"/>
    <col min="6430" max="6430" width="12.42578125" style="172" customWidth="1"/>
    <col min="6431" max="6431" width="13.5703125" style="172" customWidth="1"/>
    <col min="6432" max="6432" width="2.5703125" style="172" customWidth="1"/>
    <col min="6433" max="6433" width="11.5703125" style="172" customWidth="1"/>
    <col min="6434" max="6434" width="13" style="172" customWidth="1"/>
    <col min="6435" max="6435" width="1.42578125" style="172" customWidth="1"/>
    <col min="6436" max="6436" width="10.5703125" style="172" customWidth="1"/>
    <col min="6437" max="6668" width="11" style="172"/>
    <col min="6669" max="6669" width="1.5703125" style="172" customWidth="1"/>
    <col min="6670" max="6670" width="8.5703125" style="172" customWidth="1"/>
    <col min="6671" max="6671" width="28.7109375" style="172" customWidth="1"/>
    <col min="6672" max="6672" width="26.5703125" style="172" customWidth="1"/>
    <col min="6673" max="6673" width="7.7109375" style="172" customWidth="1"/>
    <col min="6674" max="6674" width="19.42578125" style="172" customWidth="1"/>
    <col min="6675" max="6675" width="44.28515625" style="172" customWidth="1"/>
    <col min="6676" max="6676" width="17" style="172" customWidth="1"/>
    <col min="6677" max="6677" width="15.5703125" style="172" customWidth="1"/>
    <col min="6678" max="6678" width="14.140625" style="172" customWidth="1"/>
    <col min="6679" max="6679" width="1.7109375" style="172" customWidth="1"/>
    <col min="6680" max="6680" width="13.7109375" style="172" customWidth="1"/>
    <col min="6681" max="6681" width="13.85546875" style="172" bestFit="1" customWidth="1"/>
    <col min="6682" max="6682" width="2.5703125" style="172" customWidth="1"/>
    <col min="6683" max="6683" width="12.42578125" style="172" customWidth="1"/>
    <col min="6684" max="6684" width="13.5703125" style="172" customWidth="1"/>
    <col min="6685" max="6685" width="2.5703125" style="172" customWidth="1"/>
    <col min="6686" max="6686" width="12.42578125" style="172" customWidth="1"/>
    <col min="6687" max="6687" width="13.5703125" style="172" customWidth="1"/>
    <col min="6688" max="6688" width="2.5703125" style="172" customWidth="1"/>
    <col min="6689" max="6689" width="11.5703125" style="172" customWidth="1"/>
    <col min="6690" max="6690" width="13" style="172" customWidth="1"/>
    <col min="6691" max="6691" width="1.42578125" style="172" customWidth="1"/>
    <col min="6692" max="6692" width="10.5703125" style="172" customWidth="1"/>
    <col min="6693" max="6924" width="11" style="172"/>
    <col min="6925" max="6925" width="1.5703125" style="172" customWidth="1"/>
    <col min="6926" max="6926" width="8.5703125" style="172" customWidth="1"/>
    <col min="6927" max="6927" width="28.7109375" style="172" customWidth="1"/>
    <col min="6928" max="6928" width="26.5703125" style="172" customWidth="1"/>
    <col min="6929" max="6929" width="7.7109375" style="172" customWidth="1"/>
    <col min="6930" max="6930" width="19.42578125" style="172" customWidth="1"/>
    <col min="6931" max="6931" width="44.28515625" style="172" customWidth="1"/>
    <col min="6932" max="6932" width="17" style="172" customWidth="1"/>
    <col min="6933" max="6933" width="15.5703125" style="172" customWidth="1"/>
    <col min="6934" max="6934" width="14.140625" style="172" customWidth="1"/>
    <col min="6935" max="6935" width="1.7109375" style="172" customWidth="1"/>
    <col min="6936" max="6936" width="13.7109375" style="172" customWidth="1"/>
    <col min="6937" max="6937" width="13.85546875" style="172" bestFit="1" customWidth="1"/>
    <col min="6938" max="6938" width="2.5703125" style="172" customWidth="1"/>
    <col min="6939" max="6939" width="12.42578125" style="172" customWidth="1"/>
    <col min="6940" max="6940" width="13.5703125" style="172" customWidth="1"/>
    <col min="6941" max="6941" width="2.5703125" style="172" customWidth="1"/>
    <col min="6942" max="6942" width="12.42578125" style="172" customWidth="1"/>
    <col min="6943" max="6943" width="13.5703125" style="172" customWidth="1"/>
    <col min="6944" max="6944" width="2.5703125" style="172" customWidth="1"/>
    <col min="6945" max="6945" width="11.5703125" style="172" customWidth="1"/>
    <col min="6946" max="6946" width="13" style="172" customWidth="1"/>
    <col min="6947" max="6947" width="1.42578125" style="172" customWidth="1"/>
    <col min="6948" max="6948" width="10.5703125" style="172" customWidth="1"/>
    <col min="6949" max="7180" width="11" style="172"/>
    <col min="7181" max="7181" width="1.5703125" style="172" customWidth="1"/>
    <col min="7182" max="7182" width="8.5703125" style="172" customWidth="1"/>
    <col min="7183" max="7183" width="28.7109375" style="172" customWidth="1"/>
    <col min="7184" max="7184" width="26.5703125" style="172" customWidth="1"/>
    <col min="7185" max="7185" width="7.7109375" style="172" customWidth="1"/>
    <col min="7186" max="7186" width="19.42578125" style="172" customWidth="1"/>
    <col min="7187" max="7187" width="44.28515625" style="172" customWidth="1"/>
    <col min="7188" max="7188" width="17" style="172" customWidth="1"/>
    <col min="7189" max="7189" width="15.5703125" style="172" customWidth="1"/>
    <col min="7190" max="7190" width="14.140625" style="172" customWidth="1"/>
    <col min="7191" max="7191" width="1.7109375" style="172" customWidth="1"/>
    <col min="7192" max="7192" width="13.7109375" style="172" customWidth="1"/>
    <col min="7193" max="7193" width="13.85546875" style="172" bestFit="1" customWidth="1"/>
    <col min="7194" max="7194" width="2.5703125" style="172" customWidth="1"/>
    <col min="7195" max="7195" width="12.42578125" style="172" customWidth="1"/>
    <col min="7196" max="7196" width="13.5703125" style="172" customWidth="1"/>
    <col min="7197" max="7197" width="2.5703125" style="172" customWidth="1"/>
    <col min="7198" max="7198" width="12.42578125" style="172" customWidth="1"/>
    <col min="7199" max="7199" width="13.5703125" style="172" customWidth="1"/>
    <col min="7200" max="7200" width="2.5703125" style="172" customWidth="1"/>
    <col min="7201" max="7201" width="11.5703125" style="172" customWidth="1"/>
    <col min="7202" max="7202" width="13" style="172" customWidth="1"/>
    <col min="7203" max="7203" width="1.42578125" style="172" customWidth="1"/>
    <col min="7204" max="7204" width="10.5703125" style="172" customWidth="1"/>
    <col min="7205" max="7436" width="11" style="172"/>
    <col min="7437" max="7437" width="1.5703125" style="172" customWidth="1"/>
    <col min="7438" max="7438" width="8.5703125" style="172" customWidth="1"/>
    <col min="7439" max="7439" width="28.7109375" style="172" customWidth="1"/>
    <col min="7440" max="7440" width="26.5703125" style="172" customWidth="1"/>
    <col min="7441" max="7441" width="7.7109375" style="172" customWidth="1"/>
    <col min="7442" max="7442" width="19.42578125" style="172" customWidth="1"/>
    <col min="7443" max="7443" width="44.28515625" style="172" customWidth="1"/>
    <col min="7444" max="7444" width="17" style="172" customWidth="1"/>
    <col min="7445" max="7445" width="15.5703125" style="172" customWidth="1"/>
    <col min="7446" max="7446" width="14.140625" style="172" customWidth="1"/>
    <col min="7447" max="7447" width="1.7109375" style="172" customWidth="1"/>
    <col min="7448" max="7448" width="13.7109375" style="172" customWidth="1"/>
    <col min="7449" max="7449" width="13.85546875" style="172" bestFit="1" customWidth="1"/>
    <col min="7450" max="7450" width="2.5703125" style="172" customWidth="1"/>
    <col min="7451" max="7451" width="12.42578125" style="172" customWidth="1"/>
    <col min="7452" max="7452" width="13.5703125" style="172" customWidth="1"/>
    <col min="7453" max="7453" width="2.5703125" style="172" customWidth="1"/>
    <col min="7454" max="7454" width="12.42578125" style="172" customWidth="1"/>
    <col min="7455" max="7455" width="13.5703125" style="172" customWidth="1"/>
    <col min="7456" max="7456" width="2.5703125" style="172" customWidth="1"/>
    <col min="7457" max="7457" width="11.5703125" style="172" customWidth="1"/>
    <col min="7458" max="7458" width="13" style="172" customWidth="1"/>
    <col min="7459" max="7459" width="1.42578125" style="172" customWidth="1"/>
    <col min="7460" max="7460" width="10.5703125" style="172" customWidth="1"/>
    <col min="7461" max="7692" width="11" style="172"/>
    <col min="7693" max="7693" width="1.5703125" style="172" customWidth="1"/>
    <col min="7694" max="7694" width="8.5703125" style="172" customWidth="1"/>
    <col min="7695" max="7695" width="28.7109375" style="172" customWidth="1"/>
    <col min="7696" max="7696" width="26.5703125" style="172" customWidth="1"/>
    <col min="7697" max="7697" width="7.7109375" style="172" customWidth="1"/>
    <col min="7698" max="7698" width="19.42578125" style="172" customWidth="1"/>
    <col min="7699" max="7699" width="44.28515625" style="172" customWidth="1"/>
    <col min="7700" max="7700" width="17" style="172" customWidth="1"/>
    <col min="7701" max="7701" width="15.5703125" style="172" customWidth="1"/>
    <col min="7702" max="7702" width="14.140625" style="172" customWidth="1"/>
    <col min="7703" max="7703" width="1.7109375" style="172" customWidth="1"/>
    <col min="7704" max="7704" width="13.7109375" style="172" customWidth="1"/>
    <col min="7705" max="7705" width="13.85546875" style="172" bestFit="1" customWidth="1"/>
    <col min="7706" max="7706" width="2.5703125" style="172" customWidth="1"/>
    <col min="7707" max="7707" width="12.42578125" style="172" customWidth="1"/>
    <col min="7708" max="7708" width="13.5703125" style="172" customWidth="1"/>
    <col min="7709" max="7709" width="2.5703125" style="172" customWidth="1"/>
    <col min="7710" max="7710" width="12.42578125" style="172" customWidth="1"/>
    <col min="7711" max="7711" width="13.5703125" style="172" customWidth="1"/>
    <col min="7712" max="7712" width="2.5703125" style="172" customWidth="1"/>
    <col min="7713" max="7713" width="11.5703125" style="172" customWidth="1"/>
    <col min="7714" max="7714" width="13" style="172" customWidth="1"/>
    <col min="7715" max="7715" width="1.42578125" style="172" customWidth="1"/>
    <col min="7716" max="7716" width="10.5703125" style="172" customWidth="1"/>
    <col min="7717" max="7948" width="11" style="172"/>
    <col min="7949" max="7949" width="1.5703125" style="172" customWidth="1"/>
    <col min="7950" max="7950" width="8.5703125" style="172" customWidth="1"/>
    <col min="7951" max="7951" width="28.7109375" style="172" customWidth="1"/>
    <col min="7952" max="7952" width="26.5703125" style="172" customWidth="1"/>
    <col min="7953" max="7953" width="7.7109375" style="172" customWidth="1"/>
    <col min="7954" max="7954" width="19.42578125" style="172" customWidth="1"/>
    <col min="7955" max="7955" width="44.28515625" style="172" customWidth="1"/>
    <col min="7956" max="7956" width="17" style="172" customWidth="1"/>
    <col min="7957" max="7957" width="15.5703125" style="172" customWidth="1"/>
    <col min="7958" max="7958" width="14.140625" style="172" customWidth="1"/>
    <col min="7959" max="7959" width="1.7109375" style="172" customWidth="1"/>
    <col min="7960" max="7960" width="13.7109375" style="172" customWidth="1"/>
    <col min="7961" max="7961" width="13.85546875" style="172" bestFit="1" customWidth="1"/>
    <col min="7962" max="7962" width="2.5703125" style="172" customWidth="1"/>
    <col min="7963" max="7963" width="12.42578125" style="172" customWidth="1"/>
    <col min="7964" max="7964" width="13.5703125" style="172" customWidth="1"/>
    <col min="7965" max="7965" width="2.5703125" style="172" customWidth="1"/>
    <col min="7966" max="7966" width="12.42578125" style="172" customWidth="1"/>
    <col min="7967" max="7967" width="13.5703125" style="172" customWidth="1"/>
    <col min="7968" max="7968" width="2.5703125" style="172" customWidth="1"/>
    <col min="7969" max="7969" width="11.5703125" style="172" customWidth="1"/>
    <col min="7970" max="7970" width="13" style="172" customWidth="1"/>
    <col min="7971" max="7971" width="1.42578125" style="172" customWidth="1"/>
    <col min="7972" max="7972" width="10.5703125" style="172" customWidth="1"/>
    <col min="7973" max="8204" width="11" style="172"/>
    <col min="8205" max="8205" width="1.5703125" style="172" customWidth="1"/>
    <col min="8206" max="8206" width="8.5703125" style="172" customWidth="1"/>
    <col min="8207" max="8207" width="28.7109375" style="172" customWidth="1"/>
    <col min="8208" max="8208" width="26.5703125" style="172" customWidth="1"/>
    <col min="8209" max="8209" width="7.7109375" style="172" customWidth="1"/>
    <col min="8210" max="8210" width="19.42578125" style="172" customWidth="1"/>
    <col min="8211" max="8211" width="44.28515625" style="172" customWidth="1"/>
    <col min="8212" max="8212" width="17" style="172" customWidth="1"/>
    <col min="8213" max="8213" width="15.5703125" style="172" customWidth="1"/>
    <col min="8214" max="8214" width="14.140625" style="172" customWidth="1"/>
    <col min="8215" max="8215" width="1.7109375" style="172" customWidth="1"/>
    <col min="8216" max="8216" width="13.7109375" style="172" customWidth="1"/>
    <col min="8217" max="8217" width="13.85546875" style="172" bestFit="1" customWidth="1"/>
    <col min="8218" max="8218" width="2.5703125" style="172" customWidth="1"/>
    <col min="8219" max="8219" width="12.42578125" style="172" customWidth="1"/>
    <col min="8220" max="8220" width="13.5703125" style="172" customWidth="1"/>
    <col min="8221" max="8221" width="2.5703125" style="172" customWidth="1"/>
    <col min="8222" max="8222" width="12.42578125" style="172" customWidth="1"/>
    <col min="8223" max="8223" width="13.5703125" style="172" customWidth="1"/>
    <col min="8224" max="8224" width="2.5703125" style="172" customWidth="1"/>
    <col min="8225" max="8225" width="11.5703125" style="172" customWidth="1"/>
    <col min="8226" max="8226" width="13" style="172" customWidth="1"/>
    <col min="8227" max="8227" width="1.42578125" style="172" customWidth="1"/>
    <col min="8228" max="8228" width="10.5703125" style="172" customWidth="1"/>
    <col min="8229" max="8460" width="11" style="172"/>
    <col min="8461" max="8461" width="1.5703125" style="172" customWidth="1"/>
    <col min="8462" max="8462" width="8.5703125" style="172" customWidth="1"/>
    <col min="8463" max="8463" width="28.7109375" style="172" customWidth="1"/>
    <col min="8464" max="8464" width="26.5703125" style="172" customWidth="1"/>
    <col min="8465" max="8465" width="7.7109375" style="172" customWidth="1"/>
    <col min="8466" max="8466" width="19.42578125" style="172" customWidth="1"/>
    <col min="8467" max="8467" width="44.28515625" style="172" customWidth="1"/>
    <col min="8468" max="8468" width="17" style="172" customWidth="1"/>
    <col min="8469" max="8469" width="15.5703125" style="172" customWidth="1"/>
    <col min="8470" max="8470" width="14.140625" style="172" customWidth="1"/>
    <col min="8471" max="8471" width="1.7109375" style="172" customWidth="1"/>
    <col min="8472" max="8472" width="13.7109375" style="172" customWidth="1"/>
    <col min="8473" max="8473" width="13.85546875" style="172" bestFit="1" customWidth="1"/>
    <col min="8474" max="8474" width="2.5703125" style="172" customWidth="1"/>
    <col min="8475" max="8475" width="12.42578125" style="172" customWidth="1"/>
    <col min="8476" max="8476" width="13.5703125" style="172" customWidth="1"/>
    <col min="8477" max="8477" width="2.5703125" style="172" customWidth="1"/>
    <col min="8478" max="8478" width="12.42578125" style="172" customWidth="1"/>
    <col min="8479" max="8479" width="13.5703125" style="172" customWidth="1"/>
    <col min="8480" max="8480" width="2.5703125" style="172" customWidth="1"/>
    <col min="8481" max="8481" width="11.5703125" style="172" customWidth="1"/>
    <col min="8482" max="8482" width="13" style="172" customWidth="1"/>
    <col min="8483" max="8483" width="1.42578125" style="172" customWidth="1"/>
    <col min="8484" max="8484" width="10.5703125" style="172" customWidth="1"/>
    <col min="8485" max="8716" width="11" style="172"/>
    <col min="8717" max="8717" width="1.5703125" style="172" customWidth="1"/>
    <col min="8718" max="8718" width="8.5703125" style="172" customWidth="1"/>
    <col min="8719" max="8719" width="28.7109375" style="172" customWidth="1"/>
    <col min="8720" max="8720" width="26.5703125" style="172" customWidth="1"/>
    <col min="8721" max="8721" width="7.7109375" style="172" customWidth="1"/>
    <col min="8722" max="8722" width="19.42578125" style="172" customWidth="1"/>
    <col min="8723" max="8723" width="44.28515625" style="172" customWidth="1"/>
    <col min="8724" max="8724" width="17" style="172" customWidth="1"/>
    <col min="8725" max="8725" width="15.5703125" style="172" customWidth="1"/>
    <col min="8726" max="8726" width="14.140625" style="172" customWidth="1"/>
    <col min="8727" max="8727" width="1.7109375" style="172" customWidth="1"/>
    <col min="8728" max="8728" width="13.7109375" style="172" customWidth="1"/>
    <col min="8729" max="8729" width="13.85546875" style="172" bestFit="1" customWidth="1"/>
    <col min="8730" max="8730" width="2.5703125" style="172" customWidth="1"/>
    <col min="8731" max="8731" width="12.42578125" style="172" customWidth="1"/>
    <col min="8732" max="8732" width="13.5703125" style="172" customWidth="1"/>
    <col min="8733" max="8733" width="2.5703125" style="172" customWidth="1"/>
    <col min="8734" max="8734" width="12.42578125" style="172" customWidth="1"/>
    <col min="8735" max="8735" width="13.5703125" style="172" customWidth="1"/>
    <col min="8736" max="8736" width="2.5703125" style="172" customWidth="1"/>
    <col min="8737" max="8737" width="11.5703125" style="172" customWidth="1"/>
    <col min="8738" max="8738" width="13" style="172" customWidth="1"/>
    <col min="8739" max="8739" width="1.42578125" style="172" customWidth="1"/>
    <col min="8740" max="8740" width="10.5703125" style="172" customWidth="1"/>
    <col min="8741" max="8972" width="11" style="172"/>
    <col min="8973" max="8973" width="1.5703125" style="172" customWidth="1"/>
    <col min="8974" max="8974" width="8.5703125" style="172" customWidth="1"/>
    <col min="8975" max="8975" width="28.7109375" style="172" customWidth="1"/>
    <col min="8976" max="8976" width="26.5703125" style="172" customWidth="1"/>
    <col min="8977" max="8977" width="7.7109375" style="172" customWidth="1"/>
    <col min="8978" max="8978" width="19.42578125" style="172" customWidth="1"/>
    <col min="8979" max="8979" width="44.28515625" style="172" customWidth="1"/>
    <col min="8980" max="8980" width="17" style="172" customWidth="1"/>
    <col min="8981" max="8981" width="15.5703125" style="172" customWidth="1"/>
    <col min="8982" max="8982" width="14.140625" style="172" customWidth="1"/>
    <col min="8983" max="8983" width="1.7109375" style="172" customWidth="1"/>
    <col min="8984" max="8984" width="13.7109375" style="172" customWidth="1"/>
    <col min="8985" max="8985" width="13.85546875" style="172" bestFit="1" customWidth="1"/>
    <col min="8986" max="8986" width="2.5703125" style="172" customWidth="1"/>
    <col min="8987" max="8987" width="12.42578125" style="172" customWidth="1"/>
    <col min="8988" max="8988" width="13.5703125" style="172" customWidth="1"/>
    <col min="8989" max="8989" width="2.5703125" style="172" customWidth="1"/>
    <col min="8990" max="8990" width="12.42578125" style="172" customWidth="1"/>
    <col min="8991" max="8991" width="13.5703125" style="172" customWidth="1"/>
    <col min="8992" max="8992" width="2.5703125" style="172" customWidth="1"/>
    <col min="8993" max="8993" width="11.5703125" style="172" customWidth="1"/>
    <col min="8994" max="8994" width="13" style="172" customWidth="1"/>
    <col min="8995" max="8995" width="1.42578125" style="172" customWidth="1"/>
    <col min="8996" max="8996" width="10.5703125" style="172" customWidth="1"/>
    <col min="8997" max="9228" width="11" style="172"/>
    <col min="9229" max="9229" width="1.5703125" style="172" customWidth="1"/>
    <col min="9230" max="9230" width="8.5703125" style="172" customWidth="1"/>
    <col min="9231" max="9231" width="28.7109375" style="172" customWidth="1"/>
    <col min="9232" max="9232" width="26.5703125" style="172" customWidth="1"/>
    <col min="9233" max="9233" width="7.7109375" style="172" customWidth="1"/>
    <col min="9234" max="9234" width="19.42578125" style="172" customWidth="1"/>
    <col min="9235" max="9235" width="44.28515625" style="172" customWidth="1"/>
    <col min="9236" max="9236" width="17" style="172" customWidth="1"/>
    <col min="9237" max="9237" width="15.5703125" style="172" customWidth="1"/>
    <col min="9238" max="9238" width="14.140625" style="172" customWidth="1"/>
    <col min="9239" max="9239" width="1.7109375" style="172" customWidth="1"/>
    <col min="9240" max="9240" width="13.7109375" style="172" customWidth="1"/>
    <col min="9241" max="9241" width="13.85546875" style="172" bestFit="1" customWidth="1"/>
    <col min="9242" max="9242" width="2.5703125" style="172" customWidth="1"/>
    <col min="9243" max="9243" width="12.42578125" style="172" customWidth="1"/>
    <col min="9244" max="9244" width="13.5703125" style="172" customWidth="1"/>
    <col min="9245" max="9245" width="2.5703125" style="172" customWidth="1"/>
    <col min="9246" max="9246" width="12.42578125" style="172" customWidth="1"/>
    <col min="9247" max="9247" width="13.5703125" style="172" customWidth="1"/>
    <col min="9248" max="9248" width="2.5703125" style="172" customWidth="1"/>
    <col min="9249" max="9249" width="11.5703125" style="172" customWidth="1"/>
    <col min="9250" max="9250" width="13" style="172" customWidth="1"/>
    <col min="9251" max="9251" width="1.42578125" style="172" customWidth="1"/>
    <col min="9252" max="9252" width="10.5703125" style="172" customWidth="1"/>
    <col min="9253" max="9484" width="11" style="172"/>
    <col min="9485" max="9485" width="1.5703125" style="172" customWidth="1"/>
    <col min="9486" max="9486" width="8.5703125" style="172" customWidth="1"/>
    <col min="9487" max="9487" width="28.7109375" style="172" customWidth="1"/>
    <col min="9488" max="9488" width="26.5703125" style="172" customWidth="1"/>
    <col min="9489" max="9489" width="7.7109375" style="172" customWidth="1"/>
    <col min="9490" max="9490" width="19.42578125" style="172" customWidth="1"/>
    <col min="9491" max="9491" width="44.28515625" style="172" customWidth="1"/>
    <col min="9492" max="9492" width="17" style="172" customWidth="1"/>
    <col min="9493" max="9493" width="15.5703125" style="172" customWidth="1"/>
    <col min="9494" max="9494" width="14.140625" style="172" customWidth="1"/>
    <col min="9495" max="9495" width="1.7109375" style="172" customWidth="1"/>
    <col min="9496" max="9496" width="13.7109375" style="172" customWidth="1"/>
    <col min="9497" max="9497" width="13.85546875" style="172" bestFit="1" customWidth="1"/>
    <col min="9498" max="9498" width="2.5703125" style="172" customWidth="1"/>
    <col min="9499" max="9499" width="12.42578125" style="172" customWidth="1"/>
    <col min="9500" max="9500" width="13.5703125" style="172" customWidth="1"/>
    <col min="9501" max="9501" width="2.5703125" style="172" customWidth="1"/>
    <col min="9502" max="9502" width="12.42578125" style="172" customWidth="1"/>
    <col min="9503" max="9503" width="13.5703125" style="172" customWidth="1"/>
    <col min="9504" max="9504" width="2.5703125" style="172" customWidth="1"/>
    <col min="9505" max="9505" width="11.5703125" style="172" customWidth="1"/>
    <col min="9506" max="9506" width="13" style="172" customWidth="1"/>
    <col min="9507" max="9507" width="1.42578125" style="172" customWidth="1"/>
    <col min="9508" max="9508" width="10.5703125" style="172" customWidth="1"/>
    <col min="9509" max="9740" width="11" style="172"/>
    <col min="9741" max="9741" width="1.5703125" style="172" customWidth="1"/>
    <col min="9742" max="9742" width="8.5703125" style="172" customWidth="1"/>
    <col min="9743" max="9743" width="28.7109375" style="172" customWidth="1"/>
    <col min="9744" max="9744" width="26.5703125" style="172" customWidth="1"/>
    <col min="9745" max="9745" width="7.7109375" style="172" customWidth="1"/>
    <col min="9746" max="9746" width="19.42578125" style="172" customWidth="1"/>
    <col min="9747" max="9747" width="44.28515625" style="172" customWidth="1"/>
    <col min="9748" max="9748" width="17" style="172" customWidth="1"/>
    <col min="9749" max="9749" width="15.5703125" style="172" customWidth="1"/>
    <col min="9750" max="9750" width="14.140625" style="172" customWidth="1"/>
    <col min="9751" max="9751" width="1.7109375" style="172" customWidth="1"/>
    <col min="9752" max="9752" width="13.7109375" style="172" customWidth="1"/>
    <col min="9753" max="9753" width="13.85546875" style="172" bestFit="1" customWidth="1"/>
    <col min="9754" max="9754" width="2.5703125" style="172" customWidth="1"/>
    <col min="9755" max="9755" width="12.42578125" style="172" customWidth="1"/>
    <col min="9756" max="9756" width="13.5703125" style="172" customWidth="1"/>
    <col min="9757" max="9757" width="2.5703125" style="172" customWidth="1"/>
    <col min="9758" max="9758" width="12.42578125" style="172" customWidth="1"/>
    <col min="9759" max="9759" width="13.5703125" style="172" customWidth="1"/>
    <col min="9760" max="9760" width="2.5703125" style="172" customWidth="1"/>
    <col min="9761" max="9761" width="11.5703125" style="172" customWidth="1"/>
    <col min="9762" max="9762" width="13" style="172" customWidth="1"/>
    <col min="9763" max="9763" width="1.42578125" style="172" customWidth="1"/>
    <col min="9764" max="9764" width="10.5703125" style="172" customWidth="1"/>
    <col min="9765" max="9996" width="11" style="172"/>
    <col min="9997" max="9997" width="1.5703125" style="172" customWidth="1"/>
    <col min="9998" max="9998" width="8.5703125" style="172" customWidth="1"/>
    <col min="9999" max="9999" width="28.7109375" style="172" customWidth="1"/>
    <col min="10000" max="10000" width="26.5703125" style="172" customWidth="1"/>
    <col min="10001" max="10001" width="7.7109375" style="172" customWidth="1"/>
    <col min="10002" max="10002" width="19.42578125" style="172" customWidth="1"/>
    <col min="10003" max="10003" width="44.28515625" style="172" customWidth="1"/>
    <col min="10004" max="10004" width="17" style="172" customWidth="1"/>
    <col min="10005" max="10005" width="15.5703125" style="172" customWidth="1"/>
    <col min="10006" max="10006" width="14.140625" style="172" customWidth="1"/>
    <col min="10007" max="10007" width="1.7109375" style="172" customWidth="1"/>
    <col min="10008" max="10008" width="13.7109375" style="172" customWidth="1"/>
    <col min="10009" max="10009" width="13.85546875" style="172" bestFit="1" customWidth="1"/>
    <col min="10010" max="10010" width="2.5703125" style="172" customWidth="1"/>
    <col min="10011" max="10011" width="12.42578125" style="172" customWidth="1"/>
    <col min="10012" max="10012" width="13.5703125" style="172" customWidth="1"/>
    <col min="10013" max="10013" width="2.5703125" style="172" customWidth="1"/>
    <col min="10014" max="10014" width="12.42578125" style="172" customWidth="1"/>
    <col min="10015" max="10015" width="13.5703125" style="172" customWidth="1"/>
    <col min="10016" max="10016" width="2.5703125" style="172" customWidth="1"/>
    <col min="10017" max="10017" width="11.5703125" style="172" customWidth="1"/>
    <col min="10018" max="10018" width="13" style="172" customWidth="1"/>
    <col min="10019" max="10019" width="1.42578125" style="172" customWidth="1"/>
    <col min="10020" max="10020" width="10.5703125" style="172" customWidth="1"/>
    <col min="10021" max="10252" width="11" style="172"/>
    <col min="10253" max="10253" width="1.5703125" style="172" customWidth="1"/>
    <col min="10254" max="10254" width="8.5703125" style="172" customWidth="1"/>
    <col min="10255" max="10255" width="28.7109375" style="172" customWidth="1"/>
    <col min="10256" max="10256" width="26.5703125" style="172" customWidth="1"/>
    <col min="10257" max="10257" width="7.7109375" style="172" customWidth="1"/>
    <col min="10258" max="10258" width="19.42578125" style="172" customWidth="1"/>
    <col min="10259" max="10259" width="44.28515625" style="172" customWidth="1"/>
    <col min="10260" max="10260" width="17" style="172" customWidth="1"/>
    <col min="10261" max="10261" width="15.5703125" style="172" customWidth="1"/>
    <col min="10262" max="10262" width="14.140625" style="172" customWidth="1"/>
    <col min="10263" max="10263" width="1.7109375" style="172" customWidth="1"/>
    <col min="10264" max="10264" width="13.7109375" style="172" customWidth="1"/>
    <col min="10265" max="10265" width="13.85546875" style="172" bestFit="1" customWidth="1"/>
    <col min="10266" max="10266" width="2.5703125" style="172" customWidth="1"/>
    <col min="10267" max="10267" width="12.42578125" style="172" customWidth="1"/>
    <col min="10268" max="10268" width="13.5703125" style="172" customWidth="1"/>
    <col min="10269" max="10269" width="2.5703125" style="172" customWidth="1"/>
    <col min="10270" max="10270" width="12.42578125" style="172" customWidth="1"/>
    <col min="10271" max="10271" width="13.5703125" style="172" customWidth="1"/>
    <col min="10272" max="10272" width="2.5703125" style="172" customWidth="1"/>
    <col min="10273" max="10273" width="11.5703125" style="172" customWidth="1"/>
    <col min="10274" max="10274" width="13" style="172" customWidth="1"/>
    <col min="10275" max="10275" width="1.42578125" style="172" customWidth="1"/>
    <col min="10276" max="10276" width="10.5703125" style="172" customWidth="1"/>
    <col min="10277" max="10508" width="11" style="172"/>
    <col min="10509" max="10509" width="1.5703125" style="172" customWidth="1"/>
    <col min="10510" max="10510" width="8.5703125" style="172" customWidth="1"/>
    <col min="10511" max="10511" width="28.7109375" style="172" customWidth="1"/>
    <col min="10512" max="10512" width="26.5703125" style="172" customWidth="1"/>
    <col min="10513" max="10513" width="7.7109375" style="172" customWidth="1"/>
    <col min="10514" max="10514" width="19.42578125" style="172" customWidth="1"/>
    <col min="10515" max="10515" width="44.28515625" style="172" customWidth="1"/>
    <col min="10516" max="10516" width="17" style="172" customWidth="1"/>
    <col min="10517" max="10517" width="15.5703125" style="172" customWidth="1"/>
    <col min="10518" max="10518" width="14.140625" style="172" customWidth="1"/>
    <col min="10519" max="10519" width="1.7109375" style="172" customWidth="1"/>
    <col min="10520" max="10520" width="13.7109375" style="172" customWidth="1"/>
    <col min="10521" max="10521" width="13.85546875" style="172" bestFit="1" customWidth="1"/>
    <col min="10522" max="10522" width="2.5703125" style="172" customWidth="1"/>
    <col min="10523" max="10523" width="12.42578125" style="172" customWidth="1"/>
    <col min="10524" max="10524" width="13.5703125" style="172" customWidth="1"/>
    <col min="10525" max="10525" width="2.5703125" style="172" customWidth="1"/>
    <col min="10526" max="10526" width="12.42578125" style="172" customWidth="1"/>
    <col min="10527" max="10527" width="13.5703125" style="172" customWidth="1"/>
    <col min="10528" max="10528" width="2.5703125" style="172" customWidth="1"/>
    <col min="10529" max="10529" width="11.5703125" style="172" customWidth="1"/>
    <col min="10530" max="10530" width="13" style="172" customWidth="1"/>
    <col min="10531" max="10531" width="1.42578125" style="172" customWidth="1"/>
    <col min="10532" max="10532" width="10.5703125" style="172" customWidth="1"/>
    <col min="10533" max="10764" width="11" style="172"/>
    <col min="10765" max="10765" width="1.5703125" style="172" customWidth="1"/>
    <col min="10766" max="10766" width="8.5703125" style="172" customWidth="1"/>
    <col min="10767" max="10767" width="28.7109375" style="172" customWidth="1"/>
    <col min="10768" max="10768" width="26.5703125" style="172" customWidth="1"/>
    <col min="10769" max="10769" width="7.7109375" style="172" customWidth="1"/>
    <col min="10770" max="10770" width="19.42578125" style="172" customWidth="1"/>
    <col min="10771" max="10771" width="44.28515625" style="172" customWidth="1"/>
    <col min="10772" max="10772" width="17" style="172" customWidth="1"/>
    <col min="10773" max="10773" width="15.5703125" style="172" customWidth="1"/>
    <col min="10774" max="10774" width="14.140625" style="172" customWidth="1"/>
    <col min="10775" max="10775" width="1.7109375" style="172" customWidth="1"/>
    <col min="10776" max="10776" width="13.7109375" style="172" customWidth="1"/>
    <col min="10777" max="10777" width="13.85546875" style="172" bestFit="1" customWidth="1"/>
    <col min="10778" max="10778" width="2.5703125" style="172" customWidth="1"/>
    <col min="10779" max="10779" width="12.42578125" style="172" customWidth="1"/>
    <col min="10780" max="10780" width="13.5703125" style="172" customWidth="1"/>
    <col min="10781" max="10781" width="2.5703125" style="172" customWidth="1"/>
    <col min="10782" max="10782" width="12.42578125" style="172" customWidth="1"/>
    <col min="10783" max="10783" width="13.5703125" style="172" customWidth="1"/>
    <col min="10784" max="10784" width="2.5703125" style="172" customWidth="1"/>
    <col min="10785" max="10785" width="11.5703125" style="172" customWidth="1"/>
    <col min="10786" max="10786" width="13" style="172" customWidth="1"/>
    <col min="10787" max="10787" width="1.42578125" style="172" customWidth="1"/>
    <col min="10788" max="10788" width="10.5703125" style="172" customWidth="1"/>
    <col min="10789" max="11020" width="11" style="172"/>
    <col min="11021" max="11021" width="1.5703125" style="172" customWidth="1"/>
    <col min="11022" max="11022" width="8.5703125" style="172" customWidth="1"/>
    <col min="11023" max="11023" width="28.7109375" style="172" customWidth="1"/>
    <col min="11024" max="11024" width="26.5703125" style="172" customWidth="1"/>
    <col min="11025" max="11025" width="7.7109375" style="172" customWidth="1"/>
    <col min="11026" max="11026" width="19.42578125" style="172" customWidth="1"/>
    <col min="11027" max="11027" width="44.28515625" style="172" customWidth="1"/>
    <col min="11028" max="11028" width="17" style="172" customWidth="1"/>
    <col min="11029" max="11029" width="15.5703125" style="172" customWidth="1"/>
    <col min="11030" max="11030" width="14.140625" style="172" customWidth="1"/>
    <col min="11031" max="11031" width="1.7109375" style="172" customWidth="1"/>
    <col min="11032" max="11032" width="13.7109375" style="172" customWidth="1"/>
    <col min="11033" max="11033" width="13.85546875" style="172" bestFit="1" customWidth="1"/>
    <col min="11034" max="11034" width="2.5703125" style="172" customWidth="1"/>
    <col min="11035" max="11035" width="12.42578125" style="172" customWidth="1"/>
    <col min="11036" max="11036" width="13.5703125" style="172" customWidth="1"/>
    <col min="11037" max="11037" width="2.5703125" style="172" customWidth="1"/>
    <col min="11038" max="11038" width="12.42578125" style="172" customWidth="1"/>
    <col min="11039" max="11039" width="13.5703125" style="172" customWidth="1"/>
    <col min="11040" max="11040" width="2.5703125" style="172" customWidth="1"/>
    <col min="11041" max="11041" width="11.5703125" style="172" customWidth="1"/>
    <col min="11042" max="11042" width="13" style="172" customWidth="1"/>
    <col min="11043" max="11043" width="1.42578125" style="172" customWidth="1"/>
    <col min="11044" max="11044" width="10.5703125" style="172" customWidth="1"/>
    <col min="11045" max="11276" width="11" style="172"/>
    <col min="11277" max="11277" width="1.5703125" style="172" customWidth="1"/>
    <col min="11278" max="11278" width="8.5703125" style="172" customWidth="1"/>
    <col min="11279" max="11279" width="28.7109375" style="172" customWidth="1"/>
    <col min="11280" max="11280" width="26.5703125" style="172" customWidth="1"/>
    <col min="11281" max="11281" width="7.7109375" style="172" customWidth="1"/>
    <col min="11282" max="11282" width="19.42578125" style="172" customWidth="1"/>
    <col min="11283" max="11283" width="44.28515625" style="172" customWidth="1"/>
    <col min="11284" max="11284" width="17" style="172" customWidth="1"/>
    <col min="11285" max="11285" width="15.5703125" style="172" customWidth="1"/>
    <col min="11286" max="11286" width="14.140625" style="172" customWidth="1"/>
    <col min="11287" max="11287" width="1.7109375" style="172" customWidth="1"/>
    <col min="11288" max="11288" width="13.7109375" style="172" customWidth="1"/>
    <col min="11289" max="11289" width="13.85546875" style="172" bestFit="1" customWidth="1"/>
    <col min="11290" max="11290" width="2.5703125" style="172" customWidth="1"/>
    <col min="11291" max="11291" width="12.42578125" style="172" customWidth="1"/>
    <col min="11292" max="11292" width="13.5703125" style="172" customWidth="1"/>
    <col min="11293" max="11293" width="2.5703125" style="172" customWidth="1"/>
    <col min="11294" max="11294" width="12.42578125" style="172" customWidth="1"/>
    <col min="11295" max="11295" width="13.5703125" style="172" customWidth="1"/>
    <col min="11296" max="11296" width="2.5703125" style="172" customWidth="1"/>
    <col min="11297" max="11297" width="11.5703125" style="172" customWidth="1"/>
    <col min="11298" max="11298" width="13" style="172" customWidth="1"/>
    <col min="11299" max="11299" width="1.42578125" style="172" customWidth="1"/>
    <col min="11300" max="11300" width="10.5703125" style="172" customWidth="1"/>
    <col min="11301" max="11532" width="11" style="172"/>
    <col min="11533" max="11533" width="1.5703125" style="172" customWidth="1"/>
    <col min="11534" max="11534" width="8.5703125" style="172" customWidth="1"/>
    <col min="11535" max="11535" width="28.7109375" style="172" customWidth="1"/>
    <col min="11536" max="11536" width="26.5703125" style="172" customWidth="1"/>
    <col min="11537" max="11537" width="7.7109375" style="172" customWidth="1"/>
    <col min="11538" max="11538" width="19.42578125" style="172" customWidth="1"/>
    <col min="11539" max="11539" width="44.28515625" style="172" customWidth="1"/>
    <col min="11540" max="11540" width="17" style="172" customWidth="1"/>
    <col min="11541" max="11541" width="15.5703125" style="172" customWidth="1"/>
    <col min="11542" max="11542" width="14.140625" style="172" customWidth="1"/>
    <col min="11543" max="11543" width="1.7109375" style="172" customWidth="1"/>
    <col min="11544" max="11544" width="13.7109375" style="172" customWidth="1"/>
    <col min="11545" max="11545" width="13.85546875" style="172" bestFit="1" customWidth="1"/>
    <col min="11546" max="11546" width="2.5703125" style="172" customWidth="1"/>
    <col min="11547" max="11547" width="12.42578125" style="172" customWidth="1"/>
    <col min="11548" max="11548" width="13.5703125" style="172" customWidth="1"/>
    <col min="11549" max="11549" width="2.5703125" style="172" customWidth="1"/>
    <col min="11550" max="11550" width="12.42578125" style="172" customWidth="1"/>
    <col min="11551" max="11551" width="13.5703125" style="172" customWidth="1"/>
    <col min="11552" max="11552" width="2.5703125" style="172" customWidth="1"/>
    <col min="11553" max="11553" width="11.5703125" style="172" customWidth="1"/>
    <col min="11554" max="11554" width="13" style="172" customWidth="1"/>
    <col min="11555" max="11555" width="1.42578125" style="172" customWidth="1"/>
    <col min="11556" max="11556" width="10.5703125" style="172" customWidth="1"/>
    <col min="11557" max="11788" width="11" style="172"/>
    <col min="11789" max="11789" width="1.5703125" style="172" customWidth="1"/>
    <col min="11790" max="11790" width="8.5703125" style="172" customWidth="1"/>
    <col min="11791" max="11791" width="28.7109375" style="172" customWidth="1"/>
    <col min="11792" max="11792" width="26.5703125" style="172" customWidth="1"/>
    <col min="11793" max="11793" width="7.7109375" style="172" customWidth="1"/>
    <col min="11794" max="11794" width="19.42578125" style="172" customWidth="1"/>
    <col min="11795" max="11795" width="44.28515625" style="172" customWidth="1"/>
    <col min="11796" max="11796" width="17" style="172" customWidth="1"/>
    <col min="11797" max="11797" width="15.5703125" style="172" customWidth="1"/>
    <col min="11798" max="11798" width="14.140625" style="172" customWidth="1"/>
    <col min="11799" max="11799" width="1.7109375" style="172" customWidth="1"/>
    <col min="11800" max="11800" width="13.7109375" style="172" customWidth="1"/>
    <col min="11801" max="11801" width="13.85546875" style="172" bestFit="1" customWidth="1"/>
    <col min="11802" max="11802" width="2.5703125" style="172" customWidth="1"/>
    <col min="11803" max="11803" width="12.42578125" style="172" customWidth="1"/>
    <col min="11804" max="11804" width="13.5703125" style="172" customWidth="1"/>
    <col min="11805" max="11805" width="2.5703125" style="172" customWidth="1"/>
    <col min="11806" max="11806" width="12.42578125" style="172" customWidth="1"/>
    <col min="11807" max="11807" width="13.5703125" style="172" customWidth="1"/>
    <col min="11808" max="11808" width="2.5703125" style="172" customWidth="1"/>
    <col min="11809" max="11809" width="11.5703125" style="172" customWidth="1"/>
    <col min="11810" max="11810" width="13" style="172" customWidth="1"/>
    <col min="11811" max="11811" width="1.42578125" style="172" customWidth="1"/>
    <col min="11812" max="11812" width="10.5703125" style="172" customWidth="1"/>
    <col min="11813" max="12044" width="11" style="172"/>
    <col min="12045" max="12045" width="1.5703125" style="172" customWidth="1"/>
    <col min="12046" max="12046" width="8.5703125" style="172" customWidth="1"/>
    <col min="12047" max="12047" width="28.7109375" style="172" customWidth="1"/>
    <col min="12048" max="12048" width="26.5703125" style="172" customWidth="1"/>
    <col min="12049" max="12049" width="7.7109375" style="172" customWidth="1"/>
    <col min="12050" max="12050" width="19.42578125" style="172" customWidth="1"/>
    <col min="12051" max="12051" width="44.28515625" style="172" customWidth="1"/>
    <col min="12052" max="12052" width="17" style="172" customWidth="1"/>
    <col min="12053" max="12053" width="15.5703125" style="172" customWidth="1"/>
    <col min="12054" max="12054" width="14.140625" style="172" customWidth="1"/>
    <col min="12055" max="12055" width="1.7109375" style="172" customWidth="1"/>
    <col min="12056" max="12056" width="13.7109375" style="172" customWidth="1"/>
    <col min="12057" max="12057" width="13.85546875" style="172" bestFit="1" customWidth="1"/>
    <col min="12058" max="12058" width="2.5703125" style="172" customWidth="1"/>
    <col min="12059" max="12059" width="12.42578125" style="172" customWidth="1"/>
    <col min="12060" max="12060" width="13.5703125" style="172" customWidth="1"/>
    <col min="12061" max="12061" width="2.5703125" style="172" customWidth="1"/>
    <col min="12062" max="12062" width="12.42578125" style="172" customWidth="1"/>
    <col min="12063" max="12063" width="13.5703125" style="172" customWidth="1"/>
    <col min="12064" max="12064" width="2.5703125" style="172" customWidth="1"/>
    <col min="12065" max="12065" width="11.5703125" style="172" customWidth="1"/>
    <col min="12066" max="12066" width="13" style="172" customWidth="1"/>
    <col min="12067" max="12067" width="1.42578125" style="172" customWidth="1"/>
    <col min="12068" max="12068" width="10.5703125" style="172" customWidth="1"/>
    <col min="12069" max="12300" width="11" style="172"/>
    <col min="12301" max="12301" width="1.5703125" style="172" customWidth="1"/>
    <col min="12302" max="12302" width="8.5703125" style="172" customWidth="1"/>
    <col min="12303" max="12303" width="28.7109375" style="172" customWidth="1"/>
    <col min="12304" max="12304" width="26.5703125" style="172" customWidth="1"/>
    <col min="12305" max="12305" width="7.7109375" style="172" customWidth="1"/>
    <col min="12306" max="12306" width="19.42578125" style="172" customWidth="1"/>
    <col min="12307" max="12307" width="44.28515625" style="172" customWidth="1"/>
    <col min="12308" max="12308" width="17" style="172" customWidth="1"/>
    <col min="12309" max="12309" width="15.5703125" style="172" customWidth="1"/>
    <col min="12310" max="12310" width="14.140625" style="172" customWidth="1"/>
    <col min="12311" max="12311" width="1.7109375" style="172" customWidth="1"/>
    <col min="12312" max="12312" width="13.7109375" style="172" customWidth="1"/>
    <col min="12313" max="12313" width="13.85546875" style="172" bestFit="1" customWidth="1"/>
    <col min="12314" max="12314" width="2.5703125" style="172" customWidth="1"/>
    <col min="12315" max="12315" width="12.42578125" style="172" customWidth="1"/>
    <col min="12316" max="12316" width="13.5703125" style="172" customWidth="1"/>
    <col min="12317" max="12317" width="2.5703125" style="172" customWidth="1"/>
    <col min="12318" max="12318" width="12.42578125" style="172" customWidth="1"/>
    <col min="12319" max="12319" width="13.5703125" style="172" customWidth="1"/>
    <col min="12320" max="12320" width="2.5703125" style="172" customWidth="1"/>
    <col min="12321" max="12321" width="11.5703125" style="172" customWidth="1"/>
    <col min="12322" max="12322" width="13" style="172" customWidth="1"/>
    <col min="12323" max="12323" width="1.42578125" style="172" customWidth="1"/>
    <col min="12324" max="12324" width="10.5703125" style="172" customWidth="1"/>
    <col min="12325" max="12556" width="11" style="172"/>
    <col min="12557" max="12557" width="1.5703125" style="172" customWidth="1"/>
    <col min="12558" max="12558" width="8.5703125" style="172" customWidth="1"/>
    <col min="12559" max="12559" width="28.7109375" style="172" customWidth="1"/>
    <col min="12560" max="12560" width="26.5703125" style="172" customWidth="1"/>
    <col min="12561" max="12561" width="7.7109375" style="172" customWidth="1"/>
    <col min="12562" max="12562" width="19.42578125" style="172" customWidth="1"/>
    <col min="12563" max="12563" width="44.28515625" style="172" customWidth="1"/>
    <col min="12564" max="12564" width="17" style="172" customWidth="1"/>
    <col min="12565" max="12565" width="15.5703125" style="172" customWidth="1"/>
    <col min="12566" max="12566" width="14.140625" style="172" customWidth="1"/>
    <col min="12567" max="12567" width="1.7109375" style="172" customWidth="1"/>
    <col min="12568" max="12568" width="13.7109375" style="172" customWidth="1"/>
    <col min="12569" max="12569" width="13.85546875" style="172" bestFit="1" customWidth="1"/>
    <col min="12570" max="12570" width="2.5703125" style="172" customWidth="1"/>
    <col min="12571" max="12571" width="12.42578125" style="172" customWidth="1"/>
    <col min="12572" max="12572" width="13.5703125" style="172" customWidth="1"/>
    <col min="12573" max="12573" width="2.5703125" style="172" customWidth="1"/>
    <col min="12574" max="12574" width="12.42578125" style="172" customWidth="1"/>
    <col min="12575" max="12575" width="13.5703125" style="172" customWidth="1"/>
    <col min="12576" max="12576" width="2.5703125" style="172" customWidth="1"/>
    <col min="12577" max="12577" width="11.5703125" style="172" customWidth="1"/>
    <col min="12578" max="12578" width="13" style="172" customWidth="1"/>
    <col min="12579" max="12579" width="1.42578125" style="172" customWidth="1"/>
    <col min="12580" max="12580" width="10.5703125" style="172" customWidth="1"/>
    <col min="12581" max="12812" width="11" style="172"/>
    <col min="12813" max="12813" width="1.5703125" style="172" customWidth="1"/>
    <col min="12814" max="12814" width="8.5703125" style="172" customWidth="1"/>
    <col min="12815" max="12815" width="28.7109375" style="172" customWidth="1"/>
    <col min="12816" max="12816" width="26.5703125" style="172" customWidth="1"/>
    <col min="12817" max="12817" width="7.7109375" style="172" customWidth="1"/>
    <col min="12818" max="12818" width="19.42578125" style="172" customWidth="1"/>
    <col min="12819" max="12819" width="44.28515625" style="172" customWidth="1"/>
    <col min="12820" max="12820" width="17" style="172" customWidth="1"/>
    <col min="12821" max="12821" width="15.5703125" style="172" customWidth="1"/>
    <col min="12822" max="12822" width="14.140625" style="172" customWidth="1"/>
    <col min="12823" max="12823" width="1.7109375" style="172" customWidth="1"/>
    <col min="12824" max="12824" width="13.7109375" style="172" customWidth="1"/>
    <col min="12825" max="12825" width="13.85546875" style="172" bestFit="1" customWidth="1"/>
    <col min="12826" max="12826" width="2.5703125" style="172" customWidth="1"/>
    <col min="12827" max="12827" width="12.42578125" style="172" customWidth="1"/>
    <col min="12828" max="12828" width="13.5703125" style="172" customWidth="1"/>
    <col min="12829" max="12829" width="2.5703125" style="172" customWidth="1"/>
    <col min="12830" max="12830" width="12.42578125" style="172" customWidth="1"/>
    <col min="12831" max="12831" width="13.5703125" style="172" customWidth="1"/>
    <col min="12832" max="12832" width="2.5703125" style="172" customWidth="1"/>
    <col min="12833" max="12833" width="11.5703125" style="172" customWidth="1"/>
    <col min="12834" max="12834" width="13" style="172" customWidth="1"/>
    <col min="12835" max="12835" width="1.42578125" style="172" customWidth="1"/>
    <col min="12836" max="12836" width="10.5703125" style="172" customWidth="1"/>
    <col min="12837" max="13068" width="11" style="172"/>
    <col min="13069" max="13069" width="1.5703125" style="172" customWidth="1"/>
    <col min="13070" max="13070" width="8.5703125" style="172" customWidth="1"/>
    <col min="13071" max="13071" width="28.7109375" style="172" customWidth="1"/>
    <col min="13072" max="13072" width="26.5703125" style="172" customWidth="1"/>
    <col min="13073" max="13073" width="7.7109375" style="172" customWidth="1"/>
    <col min="13074" max="13074" width="19.42578125" style="172" customWidth="1"/>
    <col min="13075" max="13075" width="44.28515625" style="172" customWidth="1"/>
    <col min="13076" max="13076" width="17" style="172" customWidth="1"/>
    <col min="13077" max="13077" width="15.5703125" style="172" customWidth="1"/>
    <col min="13078" max="13078" width="14.140625" style="172" customWidth="1"/>
    <col min="13079" max="13079" width="1.7109375" style="172" customWidth="1"/>
    <col min="13080" max="13080" width="13.7109375" style="172" customWidth="1"/>
    <col min="13081" max="13081" width="13.85546875" style="172" bestFit="1" customWidth="1"/>
    <col min="13082" max="13082" width="2.5703125" style="172" customWidth="1"/>
    <col min="13083" max="13083" width="12.42578125" style="172" customWidth="1"/>
    <col min="13084" max="13084" width="13.5703125" style="172" customWidth="1"/>
    <col min="13085" max="13085" width="2.5703125" style="172" customWidth="1"/>
    <col min="13086" max="13086" width="12.42578125" style="172" customWidth="1"/>
    <col min="13087" max="13087" width="13.5703125" style="172" customWidth="1"/>
    <col min="13088" max="13088" width="2.5703125" style="172" customWidth="1"/>
    <col min="13089" max="13089" width="11.5703125" style="172" customWidth="1"/>
    <col min="13090" max="13090" width="13" style="172" customWidth="1"/>
    <col min="13091" max="13091" width="1.42578125" style="172" customWidth="1"/>
    <col min="13092" max="13092" width="10.5703125" style="172" customWidth="1"/>
    <col min="13093" max="13324" width="11" style="172"/>
    <col min="13325" max="13325" width="1.5703125" style="172" customWidth="1"/>
    <col min="13326" max="13326" width="8.5703125" style="172" customWidth="1"/>
    <col min="13327" max="13327" width="28.7109375" style="172" customWidth="1"/>
    <col min="13328" max="13328" width="26.5703125" style="172" customWidth="1"/>
    <col min="13329" max="13329" width="7.7109375" style="172" customWidth="1"/>
    <col min="13330" max="13330" width="19.42578125" style="172" customWidth="1"/>
    <col min="13331" max="13331" width="44.28515625" style="172" customWidth="1"/>
    <col min="13332" max="13332" width="17" style="172" customWidth="1"/>
    <col min="13333" max="13333" width="15.5703125" style="172" customWidth="1"/>
    <col min="13334" max="13334" width="14.140625" style="172" customWidth="1"/>
    <col min="13335" max="13335" width="1.7109375" style="172" customWidth="1"/>
    <col min="13336" max="13336" width="13.7109375" style="172" customWidth="1"/>
    <col min="13337" max="13337" width="13.85546875" style="172" bestFit="1" customWidth="1"/>
    <col min="13338" max="13338" width="2.5703125" style="172" customWidth="1"/>
    <col min="13339" max="13339" width="12.42578125" style="172" customWidth="1"/>
    <col min="13340" max="13340" width="13.5703125" style="172" customWidth="1"/>
    <col min="13341" max="13341" width="2.5703125" style="172" customWidth="1"/>
    <col min="13342" max="13342" width="12.42578125" style="172" customWidth="1"/>
    <col min="13343" max="13343" width="13.5703125" style="172" customWidth="1"/>
    <col min="13344" max="13344" width="2.5703125" style="172" customWidth="1"/>
    <col min="13345" max="13345" width="11.5703125" style="172" customWidth="1"/>
    <col min="13346" max="13346" width="13" style="172" customWidth="1"/>
    <col min="13347" max="13347" width="1.42578125" style="172" customWidth="1"/>
    <col min="13348" max="13348" width="10.5703125" style="172" customWidth="1"/>
    <col min="13349" max="13580" width="11" style="172"/>
    <col min="13581" max="13581" width="1.5703125" style="172" customWidth="1"/>
    <col min="13582" max="13582" width="8.5703125" style="172" customWidth="1"/>
    <col min="13583" max="13583" width="28.7109375" style="172" customWidth="1"/>
    <col min="13584" max="13584" width="26.5703125" style="172" customWidth="1"/>
    <col min="13585" max="13585" width="7.7109375" style="172" customWidth="1"/>
    <col min="13586" max="13586" width="19.42578125" style="172" customWidth="1"/>
    <col min="13587" max="13587" width="44.28515625" style="172" customWidth="1"/>
    <col min="13588" max="13588" width="17" style="172" customWidth="1"/>
    <col min="13589" max="13589" width="15.5703125" style="172" customWidth="1"/>
    <col min="13590" max="13590" width="14.140625" style="172" customWidth="1"/>
    <col min="13591" max="13591" width="1.7109375" style="172" customWidth="1"/>
    <col min="13592" max="13592" width="13.7109375" style="172" customWidth="1"/>
    <col min="13593" max="13593" width="13.85546875" style="172" bestFit="1" customWidth="1"/>
    <col min="13594" max="13594" width="2.5703125" style="172" customWidth="1"/>
    <col min="13595" max="13595" width="12.42578125" style="172" customWidth="1"/>
    <col min="13596" max="13596" width="13.5703125" style="172" customWidth="1"/>
    <col min="13597" max="13597" width="2.5703125" style="172" customWidth="1"/>
    <col min="13598" max="13598" width="12.42578125" style="172" customWidth="1"/>
    <col min="13599" max="13599" width="13.5703125" style="172" customWidth="1"/>
    <col min="13600" max="13600" width="2.5703125" style="172" customWidth="1"/>
    <col min="13601" max="13601" width="11.5703125" style="172" customWidth="1"/>
    <col min="13602" max="13602" width="13" style="172" customWidth="1"/>
    <col min="13603" max="13603" width="1.42578125" style="172" customWidth="1"/>
    <col min="13604" max="13604" width="10.5703125" style="172" customWidth="1"/>
    <col min="13605" max="13836" width="11" style="172"/>
    <col min="13837" max="13837" width="1.5703125" style="172" customWidth="1"/>
    <col min="13838" max="13838" width="8.5703125" style="172" customWidth="1"/>
    <col min="13839" max="13839" width="28.7109375" style="172" customWidth="1"/>
    <col min="13840" max="13840" width="26.5703125" style="172" customWidth="1"/>
    <col min="13841" max="13841" width="7.7109375" style="172" customWidth="1"/>
    <col min="13842" max="13842" width="19.42578125" style="172" customWidth="1"/>
    <col min="13843" max="13843" width="44.28515625" style="172" customWidth="1"/>
    <col min="13844" max="13844" width="17" style="172" customWidth="1"/>
    <col min="13845" max="13845" width="15.5703125" style="172" customWidth="1"/>
    <col min="13846" max="13846" width="14.140625" style="172" customWidth="1"/>
    <col min="13847" max="13847" width="1.7109375" style="172" customWidth="1"/>
    <col min="13848" max="13848" width="13.7109375" style="172" customWidth="1"/>
    <col min="13849" max="13849" width="13.85546875" style="172" bestFit="1" customWidth="1"/>
    <col min="13850" max="13850" width="2.5703125" style="172" customWidth="1"/>
    <col min="13851" max="13851" width="12.42578125" style="172" customWidth="1"/>
    <col min="13852" max="13852" width="13.5703125" style="172" customWidth="1"/>
    <col min="13853" max="13853" width="2.5703125" style="172" customWidth="1"/>
    <col min="13854" max="13854" width="12.42578125" style="172" customWidth="1"/>
    <col min="13855" max="13855" width="13.5703125" style="172" customWidth="1"/>
    <col min="13856" max="13856" width="2.5703125" style="172" customWidth="1"/>
    <col min="13857" max="13857" width="11.5703125" style="172" customWidth="1"/>
    <col min="13858" max="13858" width="13" style="172" customWidth="1"/>
    <col min="13859" max="13859" width="1.42578125" style="172" customWidth="1"/>
    <col min="13860" max="13860" width="10.5703125" style="172" customWidth="1"/>
    <col min="13861" max="14092" width="11" style="172"/>
    <col min="14093" max="14093" width="1.5703125" style="172" customWidth="1"/>
    <col min="14094" max="14094" width="8.5703125" style="172" customWidth="1"/>
    <col min="14095" max="14095" width="28.7109375" style="172" customWidth="1"/>
    <col min="14096" max="14096" width="26.5703125" style="172" customWidth="1"/>
    <col min="14097" max="14097" width="7.7109375" style="172" customWidth="1"/>
    <col min="14098" max="14098" width="19.42578125" style="172" customWidth="1"/>
    <col min="14099" max="14099" width="44.28515625" style="172" customWidth="1"/>
    <col min="14100" max="14100" width="17" style="172" customWidth="1"/>
    <col min="14101" max="14101" width="15.5703125" style="172" customWidth="1"/>
    <col min="14102" max="14102" width="14.140625" style="172" customWidth="1"/>
    <col min="14103" max="14103" width="1.7109375" style="172" customWidth="1"/>
    <col min="14104" max="14104" width="13.7109375" style="172" customWidth="1"/>
    <col min="14105" max="14105" width="13.85546875" style="172" bestFit="1" customWidth="1"/>
    <col min="14106" max="14106" width="2.5703125" style="172" customWidth="1"/>
    <col min="14107" max="14107" width="12.42578125" style="172" customWidth="1"/>
    <col min="14108" max="14108" width="13.5703125" style="172" customWidth="1"/>
    <col min="14109" max="14109" width="2.5703125" style="172" customWidth="1"/>
    <col min="14110" max="14110" width="12.42578125" style="172" customWidth="1"/>
    <col min="14111" max="14111" width="13.5703125" style="172" customWidth="1"/>
    <col min="14112" max="14112" width="2.5703125" style="172" customWidth="1"/>
    <col min="14113" max="14113" width="11.5703125" style="172" customWidth="1"/>
    <col min="14114" max="14114" width="13" style="172" customWidth="1"/>
    <col min="14115" max="14115" width="1.42578125" style="172" customWidth="1"/>
    <col min="14116" max="14116" width="10.5703125" style="172" customWidth="1"/>
    <col min="14117" max="14348" width="11" style="172"/>
    <col min="14349" max="14349" width="1.5703125" style="172" customWidth="1"/>
    <col min="14350" max="14350" width="8.5703125" style="172" customWidth="1"/>
    <col min="14351" max="14351" width="28.7109375" style="172" customWidth="1"/>
    <col min="14352" max="14352" width="26.5703125" style="172" customWidth="1"/>
    <col min="14353" max="14353" width="7.7109375" style="172" customWidth="1"/>
    <col min="14354" max="14354" width="19.42578125" style="172" customWidth="1"/>
    <col min="14355" max="14355" width="44.28515625" style="172" customWidth="1"/>
    <col min="14356" max="14356" width="17" style="172" customWidth="1"/>
    <col min="14357" max="14357" width="15.5703125" style="172" customWidth="1"/>
    <col min="14358" max="14358" width="14.140625" style="172" customWidth="1"/>
    <col min="14359" max="14359" width="1.7109375" style="172" customWidth="1"/>
    <col min="14360" max="14360" width="13.7109375" style="172" customWidth="1"/>
    <col min="14361" max="14361" width="13.85546875" style="172" bestFit="1" customWidth="1"/>
    <col min="14362" max="14362" width="2.5703125" style="172" customWidth="1"/>
    <col min="14363" max="14363" width="12.42578125" style="172" customWidth="1"/>
    <col min="14364" max="14364" width="13.5703125" style="172" customWidth="1"/>
    <col min="14365" max="14365" width="2.5703125" style="172" customWidth="1"/>
    <col min="14366" max="14366" width="12.42578125" style="172" customWidth="1"/>
    <col min="14367" max="14367" width="13.5703125" style="172" customWidth="1"/>
    <col min="14368" max="14368" width="2.5703125" style="172" customWidth="1"/>
    <col min="14369" max="14369" width="11.5703125" style="172" customWidth="1"/>
    <col min="14370" max="14370" width="13" style="172" customWidth="1"/>
    <col min="14371" max="14371" width="1.42578125" style="172" customWidth="1"/>
    <col min="14372" max="14372" width="10.5703125" style="172" customWidth="1"/>
    <col min="14373" max="14604" width="11" style="172"/>
    <col min="14605" max="14605" width="1.5703125" style="172" customWidth="1"/>
    <col min="14606" max="14606" width="8.5703125" style="172" customWidth="1"/>
    <col min="14607" max="14607" width="28.7109375" style="172" customWidth="1"/>
    <col min="14608" max="14608" width="26.5703125" style="172" customWidth="1"/>
    <col min="14609" max="14609" width="7.7109375" style="172" customWidth="1"/>
    <col min="14610" max="14610" width="19.42578125" style="172" customWidth="1"/>
    <col min="14611" max="14611" width="44.28515625" style="172" customWidth="1"/>
    <col min="14612" max="14612" width="17" style="172" customWidth="1"/>
    <col min="14613" max="14613" width="15.5703125" style="172" customWidth="1"/>
    <col min="14614" max="14614" width="14.140625" style="172" customWidth="1"/>
    <col min="14615" max="14615" width="1.7109375" style="172" customWidth="1"/>
    <col min="14616" max="14616" width="13.7109375" style="172" customWidth="1"/>
    <col min="14617" max="14617" width="13.85546875" style="172" bestFit="1" customWidth="1"/>
    <col min="14618" max="14618" width="2.5703125" style="172" customWidth="1"/>
    <col min="14619" max="14619" width="12.42578125" style="172" customWidth="1"/>
    <col min="14620" max="14620" width="13.5703125" style="172" customWidth="1"/>
    <col min="14621" max="14621" width="2.5703125" style="172" customWidth="1"/>
    <col min="14622" max="14622" width="12.42578125" style="172" customWidth="1"/>
    <col min="14623" max="14623" width="13.5703125" style="172" customWidth="1"/>
    <col min="14624" max="14624" width="2.5703125" style="172" customWidth="1"/>
    <col min="14625" max="14625" width="11.5703125" style="172" customWidth="1"/>
    <col min="14626" max="14626" width="13" style="172" customWidth="1"/>
    <col min="14627" max="14627" width="1.42578125" style="172" customWidth="1"/>
    <col min="14628" max="14628" width="10.5703125" style="172" customWidth="1"/>
    <col min="14629" max="14860" width="11" style="172"/>
    <col min="14861" max="14861" width="1.5703125" style="172" customWidth="1"/>
    <col min="14862" max="14862" width="8.5703125" style="172" customWidth="1"/>
    <col min="14863" max="14863" width="28.7109375" style="172" customWidth="1"/>
    <col min="14864" max="14864" width="26.5703125" style="172" customWidth="1"/>
    <col min="14865" max="14865" width="7.7109375" style="172" customWidth="1"/>
    <col min="14866" max="14866" width="19.42578125" style="172" customWidth="1"/>
    <col min="14867" max="14867" width="44.28515625" style="172" customWidth="1"/>
    <col min="14868" max="14868" width="17" style="172" customWidth="1"/>
    <col min="14869" max="14869" width="15.5703125" style="172" customWidth="1"/>
    <col min="14870" max="14870" width="14.140625" style="172" customWidth="1"/>
    <col min="14871" max="14871" width="1.7109375" style="172" customWidth="1"/>
    <col min="14872" max="14872" width="13.7109375" style="172" customWidth="1"/>
    <col min="14873" max="14873" width="13.85546875" style="172" bestFit="1" customWidth="1"/>
    <col min="14874" max="14874" width="2.5703125" style="172" customWidth="1"/>
    <col min="14875" max="14875" width="12.42578125" style="172" customWidth="1"/>
    <col min="14876" max="14876" width="13.5703125" style="172" customWidth="1"/>
    <col min="14877" max="14877" width="2.5703125" style="172" customWidth="1"/>
    <col min="14878" max="14878" width="12.42578125" style="172" customWidth="1"/>
    <col min="14879" max="14879" width="13.5703125" style="172" customWidth="1"/>
    <col min="14880" max="14880" width="2.5703125" style="172" customWidth="1"/>
    <col min="14881" max="14881" width="11.5703125" style="172" customWidth="1"/>
    <col min="14882" max="14882" width="13" style="172" customWidth="1"/>
    <col min="14883" max="14883" width="1.42578125" style="172" customWidth="1"/>
    <col min="14884" max="14884" width="10.5703125" style="172" customWidth="1"/>
    <col min="14885" max="15116" width="11" style="172"/>
    <col min="15117" max="15117" width="1.5703125" style="172" customWidth="1"/>
    <col min="15118" max="15118" width="8.5703125" style="172" customWidth="1"/>
    <col min="15119" max="15119" width="28.7109375" style="172" customWidth="1"/>
    <col min="15120" max="15120" width="26.5703125" style="172" customWidth="1"/>
    <col min="15121" max="15121" width="7.7109375" style="172" customWidth="1"/>
    <col min="15122" max="15122" width="19.42578125" style="172" customWidth="1"/>
    <col min="15123" max="15123" width="44.28515625" style="172" customWidth="1"/>
    <col min="15124" max="15124" width="17" style="172" customWidth="1"/>
    <col min="15125" max="15125" width="15.5703125" style="172" customWidth="1"/>
    <col min="15126" max="15126" width="14.140625" style="172" customWidth="1"/>
    <col min="15127" max="15127" width="1.7109375" style="172" customWidth="1"/>
    <col min="15128" max="15128" width="13.7109375" style="172" customWidth="1"/>
    <col min="15129" max="15129" width="13.85546875" style="172" bestFit="1" customWidth="1"/>
    <col min="15130" max="15130" width="2.5703125" style="172" customWidth="1"/>
    <col min="15131" max="15131" width="12.42578125" style="172" customWidth="1"/>
    <col min="15132" max="15132" width="13.5703125" style="172" customWidth="1"/>
    <col min="15133" max="15133" width="2.5703125" style="172" customWidth="1"/>
    <col min="15134" max="15134" width="12.42578125" style="172" customWidth="1"/>
    <col min="15135" max="15135" width="13.5703125" style="172" customWidth="1"/>
    <col min="15136" max="15136" width="2.5703125" style="172" customWidth="1"/>
    <col min="15137" max="15137" width="11.5703125" style="172" customWidth="1"/>
    <col min="15138" max="15138" width="13" style="172" customWidth="1"/>
    <col min="15139" max="15139" width="1.42578125" style="172" customWidth="1"/>
    <col min="15140" max="15140" width="10.5703125" style="172" customWidth="1"/>
    <col min="15141" max="15372" width="11" style="172"/>
    <col min="15373" max="15373" width="1.5703125" style="172" customWidth="1"/>
    <col min="15374" max="15374" width="8.5703125" style="172" customWidth="1"/>
    <col min="15375" max="15375" width="28.7109375" style="172" customWidth="1"/>
    <col min="15376" max="15376" width="26.5703125" style="172" customWidth="1"/>
    <col min="15377" max="15377" width="7.7109375" style="172" customWidth="1"/>
    <col min="15378" max="15378" width="19.42578125" style="172" customWidth="1"/>
    <col min="15379" max="15379" width="44.28515625" style="172" customWidth="1"/>
    <col min="15380" max="15380" width="17" style="172" customWidth="1"/>
    <col min="15381" max="15381" width="15.5703125" style="172" customWidth="1"/>
    <col min="15382" max="15382" width="14.140625" style="172" customWidth="1"/>
    <col min="15383" max="15383" width="1.7109375" style="172" customWidth="1"/>
    <col min="15384" max="15384" width="13.7109375" style="172" customWidth="1"/>
    <col min="15385" max="15385" width="13.85546875" style="172" bestFit="1" customWidth="1"/>
    <col min="15386" max="15386" width="2.5703125" style="172" customWidth="1"/>
    <col min="15387" max="15387" width="12.42578125" style="172" customWidth="1"/>
    <col min="15388" max="15388" width="13.5703125" style="172" customWidth="1"/>
    <col min="15389" max="15389" width="2.5703125" style="172" customWidth="1"/>
    <col min="15390" max="15390" width="12.42578125" style="172" customWidth="1"/>
    <col min="15391" max="15391" width="13.5703125" style="172" customWidth="1"/>
    <col min="15392" max="15392" width="2.5703125" style="172" customWidth="1"/>
    <col min="15393" max="15393" width="11.5703125" style="172" customWidth="1"/>
    <col min="15394" max="15394" width="13" style="172" customWidth="1"/>
    <col min="15395" max="15395" width="1.42578125" style="172" customWidth="1"/>
    <col min="15396" max="15396" width="10.5703125" style="172" customWidth="1"/>
    <col min="15397" max="15628" width="11" style="172"/>
    <col min="15629" max="15629" width="1.5703125" style="172" customWidth="1"/>
    <col min="15630" max="15630" width="8.5703125" style="172" customWidth="1"/>
    <col min="15631" max="15631" width="28.7109375" style="172" customWidth="1"/>
    <col min="15632" max="15632" width="26.5703125" style="172" customWidth="1"/>
    <col min="15633" max="15633" width="7.7109375" style="172" customWidth="1"/>
    <col min="15634" max="15634" width="19.42578125" style="172" customWidth="1"/>
    <col min="15635" max="15635" width="44.28515625" style="172" customWidth="1"/>
    <col min="15636" max="15636" width="17" style="172" customWidth="1"/>
    <col min="15637" max="15637" width="15.5703125" style="172" customWidth="1"/>
    <col min="15638" max="15638" width="14.140625" style="172" customWidth="1"/>
    <col min="15639" max="15639" width="1.7109375" style="172" customWidth="1"/>
    <col min="15640" max="15640" width="13.7109375" style="172" customWidth="1"/>
    <col min="15641" max="15641" width="13.85546875" style="172" bestFit="1" customWidth="1"/>
    <col min="15642" max="15642" width="2.5703125" style="172" customWidth="1"/>
    <col min="15643" max="15643" width="12.42578125" style="172" customWidth="1"/>
    <col min="15644" max="15644" width="13.5703125" style="172" customWidth="1"/>
    <col min="15645" max="15645" width="2.5703125" style="172" customWidth="1"/>
    <col min="15646" max="15646" width="12.42578125" style="172" customWidth="1"/>
    <col min="15647" max="15647" width="13.5703125" style="172" customWidth="1"/>
    <col min="15648" max="15648" width="2.5703125" style="172" customWidth="1"/>
    <col min="15649" max="15649" width="11.5703125" style="172" customWidth="1"/>
    <col min="15650" max="15650" width="13" style="172" customWidth="1"/>
    <col min="15651" max="15651" width="1.42578125" style="172" customWidth="1"/>
    <col min="15652" max="15652" width="10.5703125" style="172" customWidth="1"/>
    <col min="15653" max="15884" width="11" style="172"/>
    <col min="15885" max="15885" width="1.5703125" style="172" customWidth="1"/>
    <col min="15886" max="15886" width="8.5703125" style="172" customWidth="1"/>
    <col min="15887" max="15887" width="28.7109375" style="172" customWidth="1"/>
    <col min="15888" max="15888" width="26.5703125" style="172" customWidth="1"/>
    <col min="15889" max="15889" width="7.7109375" style="172" customWidth="1"/>
    <col min="15890" max="15890" width="19.42578125" style="172" customWidth="1"/>
    <col min="15891" max="15891" width="44.28515625" style="172" customWidth="1"/>
    <col min="15892" max="15892" width="17" style="172" customWidth="1"/>
    <col min="15893" max="15893" width="15.5703125" style="172" customWidth="1"/>
    <col min="15894" max="15894" width="14.140625" style="172" customWidth="1"/>
    <col min="15895" max="15895" width="1.7109375" style="172" customWidth="1"/>
    <col min="15896" max="15896" width="13.7109375" style="172" customWidth="1"/>
    <col min="15897" max="15897" width="13.85546875" style="172" bestFit="1" customWidth="1"/>
    <col min="15898" max="15898" width="2.5703125" style="172" customWidth="1"/>
    <col min="15899" max="15899" width="12.42578125" style="172" customWidth="1"/>
    <col min="15900" max="15900" width="13.5703125" style="172" customWidth="1"/>
    <col min="15901" max="15901" width="2.5703125" style="172" customWidth="1"/>
    <col min="15902" max="15902" width="12.42578125" style="172" customWidth="1"/>
    <col min="15903" max="15903" width="13.5703125" style="172" customWidth="1"/>
    <col min="15904" max="15904" width="2.5703125" style="172" customWidth="1"/>
    <col min="15905" max="15905" width="11.5703125" style="172" customWidth="1"/>
    <col min="15906" max="15906" width="13" style="172" customWidth="1"/>
    <col min="15907" max="15907" width="1.42578125" style="172" customWidth="1"/>
    <col min="15908" max="15908" width="10.5703125" style="172" customWidth="1"/>
    <col min="15909" max="16140" width="11" style="172"/>
    <col min="16141" max="16141" width="1.5703125" style="172" customWidth="1"/>
    <col min="16142" max="16142" width="8.5703125" style="172" customWidth="1"/>
    <col min="16143" max="16143" width="28.7109375" style="172" customWidth="1"/>
    <col min="16144" max="16144" width="26.5703125" style="172" customWidth="1"/>
    <col min="16145" max="16145" width="7.7109375" style="172" customWidth="1"/>
    <col min="16146" max="16146" width="19.42578125" style="172" customWidth="1"/>
    <col min="16147" max="16147" width="44.28515625" style="172" customWidth="1"/>
    <col min="16148" max="16148" width="17" style="172" customWidth="1"/>
    <col min="16149" max="16149" width="15.5703125" style="172" customWidth="1"/>
    <col min="16150" max="16150" width="14.140625" style="172" customWidth="1"/>
    <col min="16151" max="16151" width="1.7109375" style="172" customWidth="1"/>
    <col min="16152" max="16152" width="13.7109375" style="172" customWidth="1"/>
    <col min="16153" max="16153" width="13.85546875" style="172" bestFit="1" customWidth="1"/>
    <col min="16154" max="16154" width="2.5703125" style="172" customWidth="1"/>
    <col min="16155" max="16155" width="12.42578125" style="172" customWidth="1"/>
    <col min="16156" max="16156" width="13.5703125" style="172" customWidth="1"/>
    <col min="16157" max="16157" width="2.5703125" style="172" customWidth="1"/>
    <col min="16158" max="16158" width="12.42578125" style="172" customWidth="1"/>
    <col min="16159" max="16159" width="13.5703125" style="172" customWidth="1"/>
    <col min="16160" max="16160" width="2.5703125" style="172" customWidth="1"/>
    <col min="16161" max="16161" width="11.5703125" style="172" customWidth="1"/>
    <col min="16162" max="16162" width="13" style="172" customWidth="1"/>
    <col min="16163" max="16163" width="1.42578125" style="172" customWidth="1"/>
    <col min="16164" max="16164" width="10.5703125" style="172" customWidth="1"/>
    <col min="16165" max="16384" width="11" style="172"/>
  </cols>
  <sheetData>
    <row r="1" spans="2:92" s="8" customFormat="1" ht="19.5" customHeight="1" x14ac:dyDescent="0.2">
      <c r="B1" s="1217"/>
      <c r="C1" s="1218"/>
      <c r="D1" s="1558" t="s">
        <v>246</v>
      </c>
      <c r="E1" s="1559"/>
      <c r="F1" s="168"/>
      <c r="G1" s="168"/>
      <c r="H1" s="1559" t="s">
        <v>247</v>
      </c>
      <c r="I1" s="1559"/>
      <c r="J1" s="1559"/>
      <c r="K1" s="1559"/>
      <c r="L1" s="1559"/>
      <c r="M1" s="1559"/>
      <c r="N1" s="1559"/>
      <c r="O1" s="1559"/>
      <c r="P1" s="1559"/>
      <c r="Q1" s="1559"/>
      <c r="R1" s="1559"/>
      <c r="S1" s="1559"/>
      <c r="T1" s="1559"/>
      <c r="U1" s="1559"/>
      <c r="V1" s="1559"/>
      <c r="W1" s="1559"/>
      <c r="X1" s="1560"/>
      <c r="Y1" s="1557"/>
      <c r="Z1" s="1558"/>
      <c r="AA1" s="1559"/>
      <c r="AB1" s="1559"/>
      <c r="AC1" s="1559"/>
      <c r="AD1" s="1559"/>
      <c r="AE1" s="1559"/>
      <c r="AF1" s="1559"/>
      <c r="AG1" s="1559"/>
      <c r="AH1" s="1559"/>
      <c r="AI1" s="1560"/>
      <c r="AJ1" s="1561"/>
      <c r="AK1" s="1164"/>
    </row>
    <row r="2" spans="2:92" s="8" customFormat="1" ht="23.25" customHeight="1" x14ac:dyDescent="0.2">
      <c r="B2" s="1219"/>
      <c r="C2" s="1220"/>
      <c r="D2" s="1563" t="s">
        <v>248</v>
      </c>
      <c r="E2" s="1564"/>
      <c r="F2" s="169"/>
      <c r="G2" s="169"/>
      <c r="H2" s="1564" t="s">
        <v>209</v>
      </c>
      <c r="I2" s="1564"/>
      <c r="J2" s="1564"/>
      <c r="K2" s="1564"/>
      <c r="L2" s="1564"/>
      <c r="M2" s="1564"/>
      <c r="N2" s="1564"/>
      <c r="O2" s="1564"/>
      <c r="P2" s="1564"/>
      <c r="Q2" s="1564"/>
      <c r="R2" s="1564"/>
      <c r="S2" s="1564"/>
      <c r="T2" s="1564"/>
      <c r="U2" s="1564"/>
      <c r="V2" s="1564"/>
      <c r="W2" s="1564"/>
      <c r="X2" s="1565"/>
      <c r="Y2" s="1562"/>
      <c r="Z2" s="1563"/>
      <c r="AA2" s="1564"/>
      <c r="AB2" s="1564"/>
      <c r="AC2" s="1564"/>
      <c r="AD2" s="1564"/>
      <c r="AE2" s="1564"/>
      <c r="AF2" s="1564"/>
      <c r="AG2" s="1564"/>
      <c r="AH2" s="1564"/>
      <c r="AI2" s="1565"/>
      <c r="AJ2" s="1566"/>
      <c r="AK2" s="1164"/>
    </row>
    <row r="3" spans="2:92" s="8" customFormat="1" ht="19.5" customHeight="1" thickBot="1" x14ac:dyDescent="0.25">
      <c r="B3" s="1221"/>
      <c r="C3" s="1222"/>
      <c r="D3" s="1568" t="s">
        <v>242</v>
      </c>
      <c r="E3" s="1569"/>
      <c r="F3" s="170"/>
      <c r="G3" s="170"/>
      <c r="H3" s="170" t="s">
        <v>251</v>
      </c>
      <c r="I3" s="1572" t="s">
        <v>252</v>
      </c>
      <c r="J3" s="1572"/>
      <c r="K3" s="1572"/>
      <c r="L3" s="1572"/>
      <c r="M3" s="1572"/>
      <c r="N3" s="1572"/>
      <c r="O3" s="1572"/>
      <c r="P3" s="1572"/>
      <c r="Q3" s="1572"/>
      <c r="R3" s="1572"/>
      <c r="S3" s="282"/>
      <c r="T3" s="1570" t="s">
        <v>249</v>
      </c>
      <c r="U3" s="1573"/>
      <c r="V3" s="1573"/>
      <c r="W3" s="1568"/>
      <c r="X3" s="171">
        <v>1</v>
      </c>
      <c r="Y3" s="1567"/>
      <c r="Z3" s="1568"/>
      <c r="AA3" s="1569"/>
      <c r="AB3" s="1569"/>
      <c r="AC3" s="1569"/>
      <c r="AD3" s="1569"/>
      <c r="AE3" s="1569"/>
      <c r="AF3" s="1569"/>
      <c r="AG3" s="1569"/>
      <c r="AH3" s="1569"/>
      <c r="AI3" s="1570"/>
      <c r="AJ3" s="1571"/>
      <c r="AK3" s="1164"/>
    </row>
    <row r="4" spans="2:92" ht="18.75" thickBot="1" x14ac:dyDescent="0.25">
      <c r="B4" s="280"/>
      <c r="C4" s="280"/>
      <c r="D4" s="280"/>
      <c r="E4" s="280"/>
      <c r="F4" s="280"/>
      <c r="G4" s="280"/>
      <c r="H4" s="280"/>
      <c r="I4" s="280"/>
      <c r="J4" s="280"/>
      <c r="K4" s="280"/>
      <c r="L4" s="280"/>
      <c r="M4" s="280"/>
      <c r="N4" s="280"/>
      <c r="O4" s="280"/>
      <c r="P4" s="281"/>
      <c r="Q4" s="280"/>
      <c r="R4" s="280"/>
      <c r="S4" s="280"/>
      <c r="T4" s="280"/>
      <c r="U4" s="280"/>
      <c r="V4" s="280"/>
      <c r="W4" s="281"/>
      <c r="X4" s="280"/>
      <c r="Y4" s="280"/>
      <c r="Z4" s="280"/>
      <c r="AA4" s="280"/>
      <c r="AB4" s="280"/>
      <c r="AC4" s="280"/>
      <c r="AD4" s="281"/>
      <c r="AE4" s="280"/>
      <c r="AF4" s="280"/>
      <c r="AG4" s="280"/>
      <c r="AH4" s="280"/>
      <c r="AI4" s="280"/>
      <c r="AJ4" s="280"/>
    </row>
    <row r="5" spans="2:92" ht="18.75" customHeight="1" thickBot="1" x14ac:dyDescent="0.25">
      <c r="B5" s="1580" t="s">
        <v>1166</v>
      </c>
      <c r="C5" s="1581"/>
      <c r="D5" s="1580" t="s">
        <v>1165</v>
      </c>
      <c r="E5" s="1581"/>
      <c r="F5" s="283"/>
      <c r="G5" s="283"/>
      <c r="AJ5" s="191"/>
    </row>
    <row r="6" spans="2:92" ht="23.25" customHeight="1" x14ac:dyDescent="0.2">
      <c r="B6" s="279" t="s">
        <v>180</v>
      </c>
      <c r="C6" s="278" t="s">
        <v>181</v>
      </c>
      <c r="D6" s="279" t="s">
        <v>180</v>
      </c>
      <c r="E6" s="278" t="s">
        <v>181</v>
      </c>
      <c r="F6" s="284"/>
      <c r="G6" s="284"/>
      <c r="AJ6" s="191"/>
    </row>
    <row r="7" spans="2:92" ht="33.75" customHeight="1" x14ac:dyDescent="0.2">
      <c r="B7" s="277" t="s">
        <v>196</v>
      </c>
      <c r="C7" s="271" t="s">
        <v>198</v>
      </c>
      <c r="D7" s="277" t="s">
        <v>1164</v>
      </c>
      <c r="E7" s="271" t="s">
        <v>198</v>
      </c>
      <c r="F7" s="284"/>
      <c r="G7" s="284"/>
      <c r="H7" s="178"/>
      <c r="I7" s="270"/>
      <c r="K7" s="269"/>
      <c r="L7" s="269"/>
      <c r="AJ7" s="191"/>
    </row>
    <row r="8" spans="2:92" ht="33" customHeight="1" x14ac:dyDescent="0.2">
      <c r="B8" s="276" t="s">
        <v>1163</v>
      </c>
      <c r="C8" s="271" t="s">
        <v>182</v>
      </c>
      <c r="D8" s="276" t="s">
        <v>1162</v>
      </c>
      <c r="E8" s="271" t="s">
        <v>182</v>
      </c>
      <c r="F8" s="284"/>
      <c r="G8" s="284"/>
      <c r="I8" s="270"/>
      <c r="J8" s="275"/>
      <c r="K8" s="269"/>
      <c r="L8" s="269"/>
      <c r="AJ8" s="274"/>
    </row>
    <row r="9" spans="2:92" ht="30" customHeight="1" x14ac:dyDescent="0.2">
      <c r="B9" s="273" t="s">
        <v>1161</v>
      </c>
      <c r="C9" s="271" t="s">
        <v>183</v>
      </c>
      <c r="D9" s="273" t="s">
        <v>1160</v>
      </c>
      <c r="E9" s="271" t="s">
        <v>183</v>
      </c>
      <c r="F9" s="284"/>
      <c r="G9" s="284"/>
      <c r="I9" s="270"/>
      <c r="J9" s="270"/>
      <c r="K9" s="269"/>
      <c r="L9" s="269"/>
      <c r="AJ9" s="264"/>
    </row>
    <row r="10" spans="2:92" ht="30" customHeight="1" x14ac:dyDescent="0.2">
      <c r="B10" s="272" t="s">
        <v>195</v>
      </c>
      <c r="C10" s="271" t="s">
        <v>184</v>
      </c>
      <c r="D10" s="272" t="s">
        <v>1159</v>
      </c>
      <c r="E10" s="271" t="s">
        <v>184</v>
      </c>
      <c r="F10" s="284"/>
      <c r="G10" s="284"/>
      <c r="I10" s="270"/>
      <c r="K10" s="269"/>
      <c r="L10" s="269"/>
      <c r="AJ10" s="264"/>
    </row>
    <row r="11" spans="2:92" ht="30.75" customHeight="1" thickBot="1" x14ac:dyDescent="0.25">
      <c r="B11" s="268" t="s">
        <v>185</v>
      </c>
      <c r="C11" s="266" t="s">
        <v>186</v>
      </c>
      <c r="D11" s="267" t="s">
        <v>1158</v>
      </c>
      <c r="E11" s="266" t="s">
        <v>186</v>
      </c>
      <c r="F11" s="284"/>
      <c r="G11" s="284"/>
      <c r="AJ11" s="264"/>
    </row>
    <row r="12" spans="2:92" ht="15.75" thickBot="1" x14ac:dyDescent="0.25">
      <c r="D12" s="265"/>
      <c r="E12" s="265"/>
      <c r="F12" s="265"/>
      <c r="G12" s="265"/>
      <c r="H12" s="265"/>
      <c r="AJ12" s="264"/>
    </row>
    <row r="13" spans="2:92" ht="21" customHeight="1" thickBot="1" x14ac:dyDescent="0.25">
      <c r="I13" s="263"/>
      <c r="J13" s="1526" t="s">
        <v>199</v>
      </c>
      <c r="K13" s="1527"/>
      <c r="L13" s="1527"/>
      <c r="M13" s="1527"/>
      <c r="N13" s="1527"/>
      <c r="O13" s="1527"/>
      <c r="P13" s="1527"/>
      <c r="Q13" s="1528"/>
      <c r="R13" s="1528"/>
      <c r="S13" s="1528"/>
      <c r="T13" s="1528"/>
      <c r="U13" s="1528"/>
      <c r="V13" s="1528"/>
      <c r="W13" s="1527"/>
      <c r="X13" s="1528"/>
      <c r="Y13" s="1528"/>
      <c r="Z13" s="1528"/>
      <c r="AA13" s="1528"/>
      <c r="AB13" s="1528"/>
      <c r="AC13" s="1528"/>
      <c r="AD13" s="1528"/>
      <c r="AE13" s="1528"/>
      <c r="AF13" s="1528"/>
      <c r="AG13" s="1528"/>
      <c r="AH13" s="1528"/>
      <c r="AI13" s="1528"/>
      <c r="AJ13" s="1529"/>
      <c r="AL13" s="1530" t="s">
        <v>199</v>
      </c>
      <c r="AM13" s="1531"/>
      <c r="AN13" s="1531"/>
      <c r="AO13" s="1531"/>
      <c r="AP13" s="1531"/>
      <c r="AQ13" s="1531"/>
      <c r="AR13" s="1531"/>
      <c r="AS13" s="1531"/>
      <c r="AT13" s="1531"/>
      <c r="AU13" s="1531"/>
      <c r="AV13" s="1531"/>
      <c r="AW13" s="1531"/>
      <c r="AX13" s="1532"/>
      <c r="AZ13" s="1530" t="s">
        <v>200</v>
      </c>
      <c r="BA13" s="1531"/>
      <c r="BB13" s="1531"/>
      <c r="BC13" s="1531"/>
      <c r="BD13" s="1531"/>
      <c r="BE13" s="1531"/>
      <c r="BF13" s="1531"/>
      <c r="BG13" s="1531"/>
      <c r="BH13" s="1531"/>
      <c r="BI13" s="1531"/>
      <c r="BJ13" s="1531"/>
      <c r="BK13" s="1531"/>
      <c r="BL13" s="1532"/>
      <c r="BN13" s="1530" t="s">
        <v>201</v>
      </c>
      <c r="BO13" s="1531"/>
      <c r="BP13" s="1531"/>
      <c r="BQ13" s="1531"/>
      <c r="BR13" s="1531"/>
      <c r="BS13" s="1531"/>
      <c r="BT13" s="1531"/>
      <c r="BU13" s="1531"/>
      <c r="BV13" s="1531"/>
      <c r="BW13" s="1531"/>
      <c r="BX13" s="1531"/>
      <c r="BY13" s="1531"/>
      <c r="BZ13" s="1532"/>
      <c r="CB13" s="1530" t="s">
        <v>202</v>
      </c>
      <c r="CC13" s="1531"/>
      <c r="CD13" s="1531"/>
      <c r="CE13" s="1531"/>
      <c r="CF13" s="1531"/>
      <c r="CG13" s="1531"/>
      <c r="CH13" s="1531"/>
      <c r="CI13" s="1531"/>
      <c r="CJ13" s="1531"/>
      <c r="CK13" s="1531"/>
      <c r="CL13" s="1531"/>
      <c r="CM13" s="1531"/>
      <c r="CN13" s="1532"/>
    </row>
    <row r="14" spans="2:92" s="254" customFormat="1" ht="59.25" customHeight="1" thickBot="1" x14ac:dyDescent="0.3">
      <c r="B14" s="262" t="s">
        <v>203</v>
      </c>
      <c r="C14" s="262" t="s">
        <v>205</v>
      </c>
      <c r="D14" s="262" t="s">
        <v>258</v>
      </c>
      <c r="E14" s="262" t="s">
        <v>206</v>
      </c>
      <c r="F14" s="285" t="s">
        <v>255</v>
      </c>
      <c r="G14" s="285" t="s">
        <v>207</v>
      </c>
      <c r="H14" s="261" t="s">
        <v>0</v>
      </c>
      <c r="I14" s="260"/>
      <c r="J14" s="258" t="s">
        <v>211</v>
      </c>
      <c r="K14" s="1535" t="s">
        <v>1157</v>
      </c>
      <c r="L14" s="1582"/>
      <c r="M14" s="1583" t="s">
        <v>210</v>
      </c>
      <c r="N14" s="1556"/>
      <c r="O14" s="1556"/>
      <c r="P14" s="259"/>
      <c r="Q14" s="291" t="s">
        <v>212</v>
      </c>
      <c r="R14" s="1578" t="s">
        <v>1157</v>
      </c>
      <c r="S14" s="1579"/>
      <c r="T14" s="1575" t="s">
        <v>210</v>
      </c>
      <c r="U14" s="1576"/>
      <c r="V14" s="1576"/>
      <c r="W14" s="259"/>
      <c r="X14" s="294" t="s">
        <v>213</v>
      </c>
      <c r="Y14" s="1533" t="s">
        <v>1157</v>
      </c>
      <c r="Z14" s="1534"/>
      <c r="AA14" s="1575" t="s">
        <v>210</v>
      </c>
      <c r="AB14" s="1576"/>
      <c r="AC14" s="1577"/>
      <c r="AD14" s="259"/>
      <c r="AE14" s="258" t="s">
        <v>214</v>
      </c>
      <c r="AF14" s="1535" t="s">
        <v>1157</v>
      </c>
      <c r="AG14" s="1536"/>
      <c r="AH14" s="1555" t="s">
        <v>210</v>
      </c>
      <c r="AI14" s="1556"/>
      <c r="AJ14" s="257" t="s">
        <v>215</v>
      </c>
      <c r="AK14" s="1166"/>
      <c r="AL14" s="255"/>
      <c r="AM14" s="255"/>
      <c r="AN14" s="256"/>
      <c r="AO14" s="255"/>
      <c r="AP14" s="255"/>
      <c r="AQ14" s="256"/>
      <c r="AR14" s="255"/>
      <c r="AS14" s="255"/>
      <c r="AT14" s="256"/>
      <c r="AU14" s="255"/>
      <c r="AV14" s="255"/>
      <c r="AW14" s="256"/>
      <c r="AX14" s="255"/>
      <c r="AZ14" s="255"/>
      <c r="BA14" s="255"/>
      <c r="BB14" s="256"/>
      <c r="BC14" s="255"/>
      <c r="BD14" s="255"/>
      <c r="BE14" s="256"/>
      <c r="BF14" s="255"/>
      <c r="BG14" s="255"/>
      <c r="BH14" s="256"/>
      <c r="BI14" s="255"/>
      <c r="BJ14" s="255"/>
      <c r="BK14" s="256"/>
      <c r="BL14" s="255"/>
      <c r="BN14" s="255"/>
      <c r="BO14" s="255"/>
      <c r="BP14" s="256"/>
      <c r="BQ14" s="255"/>
      <c r="BR14" s="255"/>
      <c r="BS14" s="256"/>
      <c r="BT14" s="255"/>
      <c r="BU14" s="255"/>
      <c r="BV14" s="256"/>
      <c r="BW14" s="255"/>
      <c r="BX14" s="255"/>
      <c r="BY14" s="256"/>
      <c r="BZ14" s="255"/>
      <c r="CB14" s="255"/>
      <c r="CC14" s="255"/>
      <c r="CD14" s="256"/>
      <c r="CE14" s="255"/>
      <c r="CF14" s="255"/>
      <c r="CG14" s="256"/>
      <c r="CH14" s="255"/>
      <c r="CI14" s="255"/>
      <c r="CJ14" s="256"/>
      <c r="CK14" s="255"/>
      <c r="CL14" s="255"/>
      <c r="CM14" s="256"/>
      <c r="CN14" s="255"/>
    </row>
    <row r="15" spans="2:92" ht="69.75" customHeight="1" thickBot="1" x14ac:dyDescent="0.25">
      <c r="B15" s="1585" t="s">
        <v>1148</v>
      </c>
      <c r="C15" s="1493" t="s">
        <v>345</v>
      </c>
      <c r="D15" s="1540" t="s">
        <v>1149</v>
      </c>
      <c r="E15" s="1445" t="s">
        <v>13</v>
      </c>
      <c r="F15" s="1446" t="s">
        <v>330</v>
      </c>
      <c r="G15" s="290" t="str">
        <f>+'Plan de Accion Proyectos estrat'!K9</f>
        <v>Paquetes de recobros y reclamaciones del rezago entregados para pago certificados por la Firma Interventora / Grupo supervisor de la ADRES o quien haga sus veces</v>
      </c>
      <c r="H15" s="1494" t="s">
        <v>219</v>
      </c>
      <c r="I15" s="204"/>
      <c r="J15" s="253">
        <f>+'Plan de Accion Proyectos estrat'!AJ9</f>
        <v>0</v>
      </c>
      <c r="K15" s="249">
        <f>+'Plan de Accion Proyectos estrat'!BS9</f>
        <v>0</v>
      </c>
      <c r="L15" s="249">
        <f>IF(K15&gt;100%,100%,K15)</f>
        <v>0</v>
      </c>
      <c r="M15" s="249">
        <f>+'Plan de Accion Proyectos estrat'!AL9</f>
        <v>0</v>
      </c>
      <c r="N15" s="249">
        <f>IF(M15&gt;100%,100%,M15)</f>
        <v>0</v>
      </c>
      <c r="O15" s="249">
        <f>+N15</f>
        <v>0</v>
      </c>
      <c r="P15" s="213"/>
      <c r="Q15" s="253">
        <f>+'Plan de Accion Proyectos estrat'!AT9</f>
        <v>0</v>
      </c>
      <c r="R15" s="249">
        <f>+'Plan de Accion Proyectos estrat'!BU9</f>
        <v>0</v>
      </c>
      <c r="S15" s="252">
        <f>IF(R15&gt;100%,100%,R15)</f>
        <v>0</v>
      </c>
      <c r="T15" s="249">
        <f>+'Plan de Accion Proyectos estrat'!AV9</f>
        <v>0</v>
      </c>
      <c r="U15" s="249">
        <f>IF(T15&gt;100%,100%,T15)</f>
        <v>0</v>
      </c>
      <c r="V15" s="251">
        <f>+U15</f>
        <v>0</v>
      </c>
      <c r="W15" s="213"/>
      <c r="X15" s="253">
        <f>+'Plan de Accion Proyectos estrat'!BD9</f>
        <v>0</v>
      </c>
      <c r="Y15" s="249">
        <f>+'Plan de Accion Proyectos estrat'!BW9</f>
        <v>0</v>
      </c>
      <c r="Z15" s="252">
        <f>IF(Y15&gt;100%,100%,Y15)</f>
        <v>0</v>
      </c>
      <c r="AA15" s="295">
        <f>+'Plan de Accion Proyectos estrat'!BF9</f>
        <v>0</v>
      </c>
      <c r="AB15" s="295">
        <f>IF(AA15&gt;100%,100%,AA15)</f>
        <v>0</v>
      </c>
      <c r="AC15" s="296">
        <f>+AB15</f>
        <v>0</v>
      </c>
      <c r="AD15" s="213"/>
      <c r="AE15" s="253">
        <f>+'Plan de Accion Proyectos estrat'!BN9</f>
        <v>0</v>
      </c>
      <c r="AF15" s="249">
        <f>+'Plan de Accion Proyectos estrat'!BY9</f>
        <v>0</v>
      </c>
      <c r="AG15" s="252">
        <f>IF(AF15&gt;100%,100%,AF15)</f>
        <v>0</v>
      </c>
      <c r="AH15" s="249">
        <f>+'Plan de Accion Proyectos estrat'!BP9</f>
        <v>0</v>
      </c>
      <c r="AI15" s="251">
        <f>IF(AH15&gt;100%,100%,AH15)</f>
        <v>0</v>
      </c>
      <c r="AJ15" s="205"/>
      <c r="AL15" s="250"/>
      <c r="AM15" s="203"/>
      <c r="AN15" s="204"/>
      <c r="AO15" s="250"/>
      <c r="AP15" s="203"/>
      <c r="AQ15" s="204"/>
      <c r="AR15" s="250"/>
      <c r="AS15" s="203"/>
      <c r="AT15" s="204"/>
      <c r="AU15" s="250"/>
      <c r="AV15" s="203"/>
      <c r="AW15" s="202"/>
      <c r="AX15" s="201"/>
      <c r="AZ15" s="250"/>
      <c r="BA15" s="203"/>
      <c r="BB15" s="204"/>
      <c r="BC15" s="250"/>
      <c r="BD15" s="203"/>
      <c r="BE15" s="204"/>
      <c r="BF15" s="250"/>
      <c r="BG15" s="203"/>
      <c r="BH15" s="204"/>
      <c r="BI15" s="250"/>
      <c r="BJ15" s="203"/>
      <c r="BK15" s="202"/>
      <c r="BL15" s="201"/>
      <c r="BN15" s="250"/>
      <c r="BO15" s="203"/>
      <c r="BP15" s="204"/>
      <c r="BQ15" s="250"/>
      <c r="BR15" s="203"/>
      <c r="BS15" s="204"/>
      <c r="BT15" s="250"/>
      <c r="BU15" s="203"/>
      <c r="BV15" s="204"/>
      <c r="BW15" s="250"/>
      <c r="BX15" s="203"/>
      <c r="BY15" s="202"/>
      <c r="BZ15" s="201"/>
      <c r="CB15" s="250"/>
      <c r="CC15" s="203"/>
      <c r="CD15" s="204"/>
      <c r="CE15" s="250"/>
      <c r="CF15" s="203"/>
      <c r="CG15" s="204"/>
      <c r="CH15" s="250"/>
      <c r="CI15" s="203"/>
      <c r="CJ15" s="204"/>
      <c r="CK15" s="250"/>
      <c r="CL15" s="203"/>
      <c r="CM15" s="202"/>
      <c r="CN15" s="201"/>
    </row>
    <row r="16" spans="2:92" ht="99.75" x14ac:dyDescent="0.2">
      <c r="B16" s="1586"/>
      <c r="C16" s="1471"/>
      <c r="D16" s="1541"/>
      <c r="E16" s="1440"/>
      <c r="F16" s="1443"/>
      <c r="G16" s="315" t="str">
        <f>+'Plan de Accion Proyectos estrat'!K14</f>
        <v>Apoyos técnicos enviados a la OAJ en recobros y reclamaciones una vez son entregados los reportes a la DOP por la Dirección de Tecnología de la Información</v>
      </c>
      <c r="H16" s="1495"/>
      <c r="I16" s="204"/>
      <c r="J16" s="303">
        <f>+'Plan de Accion Proyectos estrat'!AJ14</f>
        <v>0.68888888888888888</v>
      </c>
      <c r="K16" s="476">
        <f>+'Plan de Accion Proyectos estrat'!BS14</f>
        <v>0.68888888888888888</v>
      </c>
      <c r="L16" s="476">
        <f>IF(K16&gt;100%,100%,K16)</f>
        <v>0.68888888888888888</v>
      </c>
      <c r="M16" s="476">
        <f>+'Plan de Accion Proyectos estrat'!AL14</f>
        <v>0.17222222222222222</v>
      </c>
      <c r="N16" s="476">
        <f>IF(M16&gt;100%,100%,M16)</f>
        <v>0.17222222222222222</v>
      </c>
      <c r="O16" s="476">
        <f>+N16</f>
        <v>0.17222222222222222</v>
      </c>
      <c r="P16" s="213"/>
      <c r="Q16" s="303">
        <f>+'Plan de Accion Proyectos estrat'!AT14</f>
        <v>1</v>
      </c>
      <c r="R16" s="304">
        <f>+'Plan de Accion Proyectos estrat'!BU14</f>
        <v>1</v>
      </c>
      <c r="S16" s="212">
        <f>IF(R16&gt;100%,100%,R16)</f>
        <v>1</v>
      </c>
      <c r="T16" s="304">
        <f>+'Plan de Accion Proyectos estrat'!AV14</f>
        <v>0.42222222222222222</v>
      </c>
      <c r="U16" s="304">
        <f>IF(T16&gt;100%,100%,T16)</f>
        <v>0.42222222222222222</v>
      </c>
      <c r="V16" s="211">
        <f>+U16</f>
        <v>0.42222222222222222</v>
      </c>
      <c r="W16" s="213"/>
      <c r="X16" s="303">
        <f>+'Plan de Accion Proyectos estrat'!BD14</f>
        <v>1</v>
      </c>
      <c r="Y16" s="304">
        <f>+'Plan de Accion Proyectos estrat'!BW14</f>
        <v>1</v>
      </c>
      <c r="Z16" s="212">
        <f>IF(Y16&gt;100%,100%,Y16)</f>
        <v>1</v>
      </c>
      <c r="AA16" s="289">
        <f>+'Plan de Accion Proyectos estrat'!BF14</f>
        <v>0.67222222222222228</v>
      </c>
      <c r="AB16" s="289">
        <f>IF(AA16&gt;100%,100%,AA16)</f>
        <v>0.67222222222222228</v>
      </c>
      <c r="AC16" s="302">
        <f>+AB16</f>
        <v>0.67222222222222228</v>
      </c>
      <c r="AD16" s="213"/>
      <c r="AE16" s="303">
        <f>+'Plan de Accion Proyectos estrat'!BN14</f>
        <v>0.66666666666666663</v>
      </c>
      <c r="AF16" s="304">
        <f>+'Plan de Accion Proyectos estrat'!BY14</f>
        <v>0.66666666666666663</v>
      </c>
      <c r="AG16" s="212">
        <f>IF(AF16&gt;100%,100%,AF16)</f>
        <v>0.66666666666666663</v>
      </c>
      <c r="AH16" s="304">
        <f>+'Plan de Accion Proyectos estrat'!BP14</f>
        <v>0.83888888888888891</v>
      </c>
      <c r="AI16" s="211">
        <f>IF(AH16&gt;100%,100%,AH16)</f>
        <v>0.83888888888888891</v>
      </c>
      <c r="AJ16" s="1505"/>
      <c r="AL16" s="1523"/>
      <c r="AM16" s="1499"/>
      <c r="AN16" s="204"/>
      <c r="AO16" s="1537"/>
      <c r="AP16" s="1499"/>
      <c r="AQ16" s="204"/>
      <c r="AR16" s="1523"/>
      <c r="AS16" s="1499"/>
      <c r="AT16" s="204"/>
      <c r="AU16" s="1523"/>
      <c r="AV16" s="1499"/>
      <c r="AW16" s="202"/>
      <c r="AX16" s="1506"/>
      <c r="AZ16" s="1523"/>
      <c r="BA16" s="1499"/>
      <c r="BB16" s="204"/>
      <c r="BC16" s="1537"/>
      <c r="BD16" s="1499"/>
      <c r="BE16" s="204"/>
      <c r="BF16" s="1523"/>
      <c r="BG16" s="1499"/>
      <c r="BH16" s="204"/>
      <c r="BI16" s="1523"/>
      <c r="BJ16" s="1499"/>
      <c r="BK16" s="202"/>
      <c r="BL16" s="1506"/>
      <c r="BN16" s="1523"/>
      <c r="BO16" s="1499"/>
      <c r="BP16" s="204"/>
      <c r="BQ16" s="1537"/>
      <c r="BR16" s="1499"/>
      <c r="BS16" s="204"/>
      <c r="BT16" s="1523"/>
      <c r="BU16" s="1499"/>
      <c r="BV16" s="204"/>
      <c r="BW16" s="1523"/>
      <c r="BX16" s="1499"/>
      <c r="BY16" s="202"/>
      <c r="BZ16" s="1506"/>
      <c r="CB16" s="1523"/>
      <c r="CC16" s="1499"/>
      <c r="CD16" s="204"/>
      <c r="CE16" s="1537"/>
      <c r="CF16" s="1499"/>
      <c r="CG16" s="204"/>
      <c r="CH16" s="1523"/>
      <c r="CI16" s="1499"/>
      <c r="CJ16" s="204"/>
      <c r="CK16" s="1523"/>
      <c r="CL16" s="1499"/>
      <c r="CM16" s="202"/>
      <c r="CN16" s="1506"/>
    </row>
    <row r="17" spans="2:92" ht="62.25" customHeight="1" x14ac:dyDescent="0.2">
      <c r="B17" s="1586"/>
      <c r="C17" s="1460"/>
      <c r="D17" s="1541"/>
      <c r="E17" s="1441"/>
      <c r="F17" s="1444"/>
      <c r="G17" s="288" t="str">
        <f>+'Plan de Accion Proyectos estrat'!K15</f>
        <v>Informe de alternativas para optimizar y sistematizar el proceso de auditoria integral</v>
      </c>
      <c r="H17" s="1495"/>
      <c r="I17" s="204"/>
      <c r="J17" s="303">
        <f>+'Plan de Accion Proyectos estrat'!AJ15</f>
        <v>0.34137930938828082</v>
      </c>
      <c r="K17" s="476">
        <f>+'Plan de Accion Proyectos estrat'!BS15</f>
        <v>0.34137930938828082</v>
      </c>
      <c r="L17" s="476">
        <f>IF(K17&gt;100%,100%,K17)</f>
        <v>0.34137930938828082</v>
      </c>
      <c r="M17" s="476">
        <f>+'Plan de Accion Proyectos estrat'!AL15</f>
        <v>6.206896534332379E-2</v>
      </c>
      <c r="N17" s="476">
        <f>IF(M17&gt;100%,100%,M17)</f>
        <v>6.206896534332379E-2</v>
      </c>
      <c r="O17" s="476">
        <f>+N17</f>
        <v>6.206896534332379E-2</v>
      </c>
      <c r="P17" s="213"/>
      <c r="Q17" s="303">
        <f>+'Plan de Accion Proyectos estrat'!AT15</f>
        <v>1.1379310308904869</v>
      </c>
      <c r="R17" s="304">
        <f>+'Plan de Accion Proyectos estrat'!BU15</f>
        <v>1.1379310308904869</v>
      </c>
      <c r="S17" s="212">
        <f>IF(R17&gt;100%,100%,R17)</f>
        <v>1</v>
      </c>
      <c r="T17" s="304">
        <f>+'Plan de Accion Proyectos estrat'!AV15</f>
        <v>0.37241379194982016</v>
      </c>
      <c r="U17" s="304">
        <f>IF(T17&gt;100%,100%,T17)</f>
        <v>0.37241379194982016</v>
      </c>
      <c r="V17" s="211">
        <f>+U17</f>
        <v>0.37241379194982016</v>
      </c>
      <c r="W17" s="213">
        <v>1</v>
      </c>
      <c r="X17" s="303">
        <f>+'Plan de Accion Proyectos estrat'!BD15</f>
        <v>1.1379310308904869</v>
      </c>
      <c r="Y17" s="304">
        <f>+'Plan de Accion Proyectos estrat'!BW15</f>
        <v>1.1379310308904869</v>
      </c>
      <c r="Z17" s="212">
        <f>IF(Y17&gt;100%,100%,Y17)</f>
        <v>1</v>
      </c>
      <c r="AA17" s="289">
        <f>+'Plan de Accion Proyectos estrat'!BF15</f>
        <v>0.68275861855631659</v>
      </c>
      <c r="AB17" s="289">
        <f>IF(AA17&gt;100%,100%,AA17)</f>
        <v>0.68275861855631659</v>
      </c>
      <c r="AC17" s="302">
        <f>+AB17</f>
        <v>0.68275861855631659</v>
      </c>
      <c r="AD17" s="213">
        <v>1</v>
      </c>
      <c r="AE17" s="303">
        <f>+'Plan de Accion Proyectos estrat'!BN15</f>
        <v>0.75862068726032461</v>
      </c>
      <c r="AF17" s="304">
        <f>+'Plan de Accion Proyectos estrat'!BY15</f>
        <v>0.75862068726032461</v>
      </c>
      <c r="AG17" s="212">
        <f>IF(AF17&gt;100%,100%,AF17)</f>
        <v>0.75862068726032461</v>
      </c>
      <c r="AH17" s="304">
        <f>+'Plan de Accion Proyectos estrat'!BP15</f>
        <v>0.88965516962731417</v>
      </c>
      <c r="AI17" s="211">
        <f>IF(AH17&gt;100%,100%,AH17)</f>
        <v>0.88965516962731417</v>
      </c>
      <c r="AJ17" s="1482"/>
      <c r="AL17" s="1524"/>
      <c r="AM17" s="1488"/>
      <c r="AN17" s="204"/>
      <c r="AO17" s="1538"/>
      <c r="AP17" s="1488"/>
      <c r="AQ17" s="204"/>
      <c r="AR17" s="1524"/>
      <c r="AS17" s="1488"/>
      <c r="AT17" s="204"/>
      <c r="AU17" s="1524"/>
      <c r="AV17" s="1488"/>
      <c r="AW17" s="202"/>
      <c r="AX17" s="1507"/>
      <c r="AZ17" s="1524"/>
      <c r="BA17" s="1488"/>
      <c r="BB17" s="204"/>
      <c r="BC17" s="1538"/>
      <c r="BD17" s="1488"/>
      <c r="BE17" s="204"/>
      <c r="BF17" s="1524"/>
      <c r="BG17" s="1488"/>
      <c r="BH17" s="204"/>
      <c r="BI17" s="1524"/>
      <c r="BJ17" s="1488"/>
      <c r="BK17" s="202"/>
      <c r="BL17" s="1507"/>
      <c r="BN17" s="1524"/>
      <c r="BO17" s="1488"/>
      <c r="BP17" s="204"/>
      <c r="BQ17" s="1538"/>
      <c r="BR17" s="1488"/>
      <c r="BS17" s="204"/>
      <c r="BT17" s="1524"/>
      <c r="BU17" s="1488"/>
      <c r="BV17" s="204"/>
      <c r="BW17" s="1524"/>
      <c r="BX17" s="1488"/>
      <c r="BY17" s="202"/>
      <c r="BZ17" s="1507"/>
      <c r="CB17" s="1524"/>
      <c r="CC17" s="1488"/>
      <c r="CD17" s="204"/>
      <c r="CE17" s="1538"/>
      <c r="CF17" s="1488"/>
      <c r="CG17" s="204"/>
      <c r="CH17" s="1524"/>
      <c r="CI17" s="1488"/>
      <c r="CJ17" s="204"/>
      <c r="CK17" s="1524"/>
      <c r="CL17" s="1488"/>
      <c r="CM17" s="202"/>
      <c r="CN17" s="1507"/>
    </row>
    <row r="18" spans="2:92" ht="156.75" customHeight="1" x14ac:dyDescent="0.2">
      <c r="B18" s="1586"/>
      <c r="C18" s="1461" t="s">
        <v>1168</v>
      </c>
      <c r="D18" s="1461" t="s">
        <v>1170</v>
      </c>
      <c r="E18" s="1439" t="s">
        <v>1169</v>
      </c>
      <c r="F18" s="1554" t="s">
        <v>330</v>
      </c>
      <c r="G18" s="286" t="str">
        <f>+'Plan de Accion Proyectos estrat'!K21</f>
        <v xml:space="preserve">Estadísticas de registros de las auditorias preventivas por entidad con errores </v>
      </c>
      <c r="H18" s="1495"/>
      <c r="I18" s="204"/>
      <c r="J18" s="1490">
        <f>+'Plan de Accion Proyectos estrat'!AJ21</f>
        <v>0.63703703703703707</v>
      </c>
      <c r="K18" s="1447">
        <f>+'Plan de Accion Proyectos estrat'!BS21</f>
        <v>0.63703703703703707</v>
      </c>
      <c r="L18" s="1447">
        <f>IF(K18&gt;100%,100%,K18)</f>
        <v>0.63703703703703707</v>
      </c>
      <c r="M18" s="1447">
        <f>+'Plan de Accion Proyectos estrat'!AL21</f>
        <v>0.15925925925925927</v>
      </c>
      <c r="N18" s="1447">
        <f>IF(M18&gt;100%,100%,M18)</f>
        <v>0.15925925925925927</v>
      </c>
      <c r="O18" s="1447">
        <f>+N18</f>
        <v>0.15925925925925927</v>
      </c>
      <c r="P18" s="213"/>
      <c r="Q18" s="1490">
        <f>+'Plan de Accion Proyectos estrat'!AT21</f>
        <v>1</v>
      </c>
      <c r="R18" s="1484">
        <f>+'Plan de Accion Proyectos estrat'!BU21</f>
        <v>1</v>
      </c>
      <c r="S18" s="1484">
        <f>IF(R18&gt;100%,100%,R18)</f>
        <v>1</v>
      </c>
      <c r="T18" s="1484">
        <f>+'Plan de Accion Proyectos estrat'!AV21</f>
        <v>0.40925925925925927</v>
      </c>
      <c r="U18" s="1484">
        <f>IF(T18&gt;100%,100%,T18)</f>
        <v>0.40925925925925927</v>
      </c>
      <c r="V18" s="1486">
        <f>+U18</f>
        <v>0.40925925925925927</v>
      </c>
      <c r="W18" s="213"/>
      <c r="X18" s="1490">
        <f>+'Plan de Accion Proyectos estrat'!BD21</f>
        <v>1</v>
      </c>
      <c r="Y18" s="1484">
        <f>+'Plan de Accion Proyectos estrat'!BW21</f>
        <v>1</v>
      </c>
      <c r="Z18" s="1484">
        <f>IF(Y18&gt;100%,100%,Y18)</f>
        <v>1</v>
      </c>
      <c r="AA18" s="1517">
        <f>+'Plan de Accion Proyectos estrat'!BF21</f>
        <v>0.65925925925925921</v>
      </c>
      <c r="AB18" s="1517">
        <f>IF(AA18&gt;100%,100%,AA18)</f>
        <v>0.65925925925925921</v>
      </c>
      <c r="AC18" s="1519">
        <f>+AB18</f>
        <v>0.65925925925925921</v>
      </c>
      <c r="AD18" s="213"/>
      <c r="AE18" s="1490">
        <f>+'Plan de Accion Proyectos estrat'!BN21</f>
        <v>1</v>
      </c>
      <c r="AF18" s="1484">
        <f>+'Plan de Accion Proyectos estrat'!BY21</f>
        <v>1</v>
      </c>
      <c r="AG18" s="1484">
        <f>IF(AF18&gt;100%,100%,AF18)</f>
        <v>1</v>
      </c>
      <c r="AH18" s="1484">
        <f>+'Plan de Accion Proyectos estrat'!BP21</f>
        <v>0.90925925925925921</v>
      </c>
      <c r="AI18" s="1486">
        <f>IF(AH18&gt;100%,100%,AH18)</f>
        <v>0.90925925925925921</v>
      </c>
      <c r="AJ18" s="1482"/>
      <c r="AL18" s="1524"/>
      <c r="AM18" s="1488"/>
      <c r="AN18" s="204"/>
      <c r="AO18" s="1538"/>
      <c r="AP18" s="1488"/>
      <c r="AQ18" s="204"/>
      <c r="AR18" s="1524"/>
      <c r="AS18" s="1488"/>
      <c r="AT18" s="204"/>
      <c r="AU18" s="1524"/>
      <c r="AV18" s="1488"/>
      <c r="AW18" s="202"/>
      <c r="AX18" s="1507"/>
      <c r="AZ18" s="1524"/>
      <c r="BA18" s="1488"/>
      <c r="BB18" s="204"/>
      <c r="BC18" s="1538"/>
      <c r="BD18" s="1488"/>
      <c r="BE18" s="204"/>
      <c r="BF18" s="1524"/>
      <c r="BG18" s="1488"/>
      <c r="BH18" s="204"/>
      <c r="BI18" s="1524"/>
      <c r="BJ18" s="1488"/>
      <c r="BK18" s="202"/>
      <c r="BL18" s="1507"/>
      <c r="BN18" s="1524"/>
      <c r="BO18" s="1488"/>
      <c r="BP18" s="204"/>
      <c r="BQ18" s="1538"/>
      <c r="BR18" s="1488"/>
      <c r="BS18" s="204"/>
      <c r="BT18" s="1524"/>
      <c r="BU18" s="1488"/>
      <c r="BV18" s="204"/>
      <c r="BW18" s="1524"/>
      <c r="BX18" s="1488"/>
      <c r="BY18" s="202"/>
      <c r="BZ18" s="1507"/>
      <c r="CB18" s="1524"/>
      <c r="CC18" s="1488"/>
      <c r="CD18" s="204"/>
      <c r="CE18" s="1538"/>
      <c r="CF18" s="1488"/>
      <c r="CG18" s="204"/>
      <c r="CH18" s="1524"/>
      <c r="CI18" s="1488"/>
      <c r="CJ18" s="204"/>
      <c r="CK18" s="1524"/>
      <c r="CL18" s="1488"/>
      <c r="CM18" s="202"/>
      <c r="CN18" s="1507"/>
    </row>
    <row r="19" spans="2:92" ht="57" x14ac:dyDescent="0.2">
      <c r="B19" s="1586"/>
      <c r="C19" s="1462"/>
      <c r="D19" s="1462"/>
      <c r="E19" s="1440"/>
      <c r="F19" s="1554"/>
      <c r="G19" s="286" t="str">
        <f>+'Plan de Accion Proyectos estrat'!K22</f>
        <v>Informes de auditorias correctivas según resolución 2199 de 2013 y 4894 de 2015</v>
      </c>
      <c r="H19" s="1495"/>
      <c r="I19" s="204"/>
      <c r="J19" s="1491"/>
      <c r="K19" s="1448"/>
      <c r="L19" s="1448"/>
      <c r="M19" s="1448"/>
      <c r="N19" s="1448"/>
      <c r="O19" s="1448"/>
      <c r="P19" s="213"/>
      <c r="Q19" s="1491"/>
      <c r="R19" s="1513"/>
      <c r="S19" s="1513"/>
      <c r="T19" s="1513"/>
      <c r="U19" s="1513"/>
      <c r="V19" s="1512"/>
      <c r="W19" s="213"/>
      <c r="X19" s="1491"/>
      <c r="Y19" s="1513"/>
      <c r="Z19" s="1513"/>
      <c r="AA19" s="1522"/>
      <c r="AB19" s="1522"/>
      <c r="AC19" s="1521"/>
      <c r="AD19" s="213"/>
      <c r="AE19" s="1491"/>
      <c r="AF19" s="1513"/>
      <c r="AG19" s="1513"/>
      <c r="AH19" s="1513"/>
      <c r="AI19" s="1512"/>
      <c r="AJ19" s="1482"/>
      <c r="AL19" s="1524"/>
      <c r="AM19" s="1488"/>
      <c r="AN19" s="204"/>
      <c r="AO19" s="1538"/>
      <c r="AP19" s="1488"/>
      <c r="AQ19" s="204"/>
      <c r="AR19" s="1524"/>
      <c r="AS19" s="1488"/>
      <c r="AT19" s="204"/>
      <c r="AU19" s="1524"/>
      <c r="AV19" s="1488"/>
      <c r="AW19" s="202"/>
      <c r="AX19" s="1507"/>
      <c r="AZ19" s="1524"/>
      <c r="BA19" s="1488"/>
      <c r="BB19" s="204"/>
      <c r="BC19" s="1538"/>
      <c r="BD19" s="1488"/>
      <c r="BE19" s="204"/>
      <c r="BF19" s="1524"/>
      <c r="BG19" s="1488"/>
      <c r="BH19" s="204"/>
      <c r="BI19" s="1524"/>
      <c r="BJ19" s="1488"/>
      <c r="BK19" s="202"/>
      <c r="BL19" s="1507"/>
      <c r="BN19" s="1524"/>
      <c r="BO19" s="1488"/>
      <c r="BP19" s="204"/>
      <c r="BQ19" s="1538"/>
      <c r="BR19" s="1488"/>
      <c r="BS19" s="204"/>
      <c r="BT19" s="1524"/>
      <c r="BU19" s="1488"/>
      <c r="BV19" s="204"/>
      <c r="BW19" s="1524"/>
      <c r="BX19" s="1488"/>
      <c r="BY19" s="202"/>
      <c r="BZ19" s="1507"/>
      <c r="CB19" s="1524"/>
      <c r="CC19" s="1488"/>
      <c r="CD19" s="204"/>
      <c r="CE19" s="1538"/>
      <c r="CF19" s="1488"/>
      <c r="CG19" s="204"/>
      <c r="CH19" s="1524"/>
      <c r="CI19" s="1488"/>
      <c r="CJ19" s="204"/>
      <c r="CK19" s="1524"/>
      <c r="CL19" s="1488"/>
      <c r="CM19" s="202"/>
      <c r="CN19" s="1507"/>
    </row>
    <row r="20" spans="2:92" ht="71.25" x14ac:dyDescent="0.2">
      <c r="B20" s="1586"/>
      <c r="C20" s="1462"/>
      <c r="D20" s="1462"/>
      <c r="E20" s="1440"/>
      <c r="F20" s="1554"/>
      <c r="G20" s="286" t="str">
        <f>+'Plan de Accion Proyectos estrat'!K23</f>
        <v>Depuración de registros de BDUA de acuerdo con solicitudes del MSPS, según resolución 2199 de 2013 y 4894 de 2015</v>
      </c>
      <c r="H20" s="1495"/>
      <c r="I20" s="204"/>
      <c r="J20" s="1491"/>
      <c r="K20" s="1448"/>
      <c r="L20" s="1448"/>
      <c r="M20" s="1448"/>
      <c r="N20" s="1448"/>
      <c r="O20" s="1448"/>
      <c r="P20" s="213"/>
      <c r="Q20" s="1491"/>
      <c r="R20" s="1513"/>
      <c r="S20" s="1513"/>
      <c r="T20" s="1513"/>
      <c r="U20" s="1513"/>
      <c r="V20" s="1512"/>
      <c r="W20" s="213"/>
      <c r="X20" s="1491"/>
      <c r="Y20" s="1513"/>
      <c r="Z20" s="1513"/>
      <c r="AA20" s="1522"/>
      <c r="AB20" s="1522"/>
      <c r="AC20" s="1521"/>
      <c r="AD20" s="213"/>
      <c r="AE20" s="1491"/>
      <c r="AF20" s="1513"/>
      <c r="AG20" s="1513"/>
      <c r="AH20" s="1513"/>
      <c r="AI20" s="1512"/>
      <c r="AJ20" s="1482"/>
      <c r="AL20" s="1524"/>
      <c r="AM20" s="1488"/>
      <c r="AN20" s="204"/>
      <c r="AO20" s="1538"/>
      <c r="AP20" s="1488"/>
      <c r="AQ20" s="204"/>
      <c r="AR20" s="1524"/>
      <c r="AS20" s="1488"/>
      <c r="AT20" s="204"/>
      <c r="AU20" s="1524"/>
      <c r="AV20" s="1488"/>
      <c r="AW20" s="202"/>
      <c r="AX20" s="1507"/>
      <c r="AZ20" s="1524"/>
      <c r="BA20" s="1488"/>
      <c r="BB20" s="204"/>
      <c r="BC20" s="1538"/>
      <c r="BD20" s="1488"/>
      <c r="BE20" s="204"/>
      <c r="BF20" s="1524"/>
      <c r="BG20" s="1488"/>
      <c r="BH20" s="204"/>
      <c r="BI20" s="1524"/>
      <c r="BJ20" s="1488"/>
      <c r="BK20" s="202"/>
      <c r="BL20" s="1507"/>
      <c r="BN20" s="1524"/>
      <c r="BO20" s="1488"/>
      <c r="BP20" s="204"/>
      <c r="BQ20" s="1538"/>
      <c r="BR20" s="1488"/>
      <c r="BS20" s="204"/>
      <c r="BT20" s="1524"/>
      <c r="BU20" s="1488"/>
      <c r="BV20" s="204"/>
      <c r="BW20" s="1524"/>
      <c r="BX20" s="1488"/>
      <c r="BY20" s="202"/>
      <c r="BZ20" s="1507"/>
      <c r="CB20" s="1524"/>
      <c r="CC20" s="1488"/>
      <c r="CD20" s="204"/>
      <c r="CE20" s="1538"/>
      <c r="CF20" s="1488"/>
      <c r="CG20" s="204"/>
      <c r="CH20" s="1524"/>
      <c r="CI20" s="1488"/>
      <c r="CJ20" s="204"/>
      <c r="CK20" s="1524"/>
      <c r="CL20" s="1488"/>
      <c r="CM20" s="202"/>
      <c r="CN20" s="1507"/>
    </row>
    <row r="21" spans="2:92" ht="42.75" x14ac:dyDescent="0.2">
      <c r="B21" s="1586"/>
      <c r="C21" s="1462"/>
      <c r="D21" s="1462"/>
      <c r="E21" s="1440"/>
      <c r="F21" s="1554"/>
      <c r="G21" s="286" t="str">
        <f>+'Plan de Accion Proyectos estrat'!K24</f>
        <v>Apoyo técnico para respuestas a PQRSD relacionadas con BDUA</v>
      </c>
      <c r="H21" s="1495"/>
      <c r="I21" s="204"/>
      <c r="J21" s="1492"/>
      <c r="K21" s="1449"/>
      <c r="L21" s="1449"/>
      <c r="M21" s="1449"/>
      <c r="N21" s="1449"/>
      <c r="O21" s="1449"/>
      <c r="P21" s="213"/>
      <c r="Q21" s="1492"/>
      <c r="R21" s="1485"/>
      <c r="S21" s="1485"/>
      <c r="T21" s="1485"/>
      <c r="U21" s="1485"/>
      <c r="V21" s="1487"/>
      <c r="W21" s="213"/>
      <c r="X21" s="1492"/>
      <c r="Y21" s="1485"/>
      <c r="Z21" s="1485"/>
      <c r="AA21" s="1518"/>
      <c r="AB21" s="1518"/>
      <c r="AC21" s="1520"/>
      <c r="AD21" s="213"/>
      <c r="AE21" s="1492"/>
      <c r="AF21" s="1485"/>
      <c r="AG21" s="1485"/>
      <c r="AH21" s="1485"/>
      <c r="AI21" s="1487"/>
      <c r="AJ21" s="1482"/>
      <c r="AL21" s="1524"/>
      <c r="AM21" s="1488"/>
      <c r="AN21" s="204"/>
      <c r="AO21" s="1538"/>
      <c r="AP21" s="1488"/>
      <c r="AQ21" s="204"/>
      <c r="AR21" s="1524"/>
      <c r="AS21" s="1488"/>
      <c r="AT21" s="204"/>
      <c r="AU21" s="1524"/>
      <c r="AV21" s="1488"/>
      <c r="AW21" s="202"/>
      <c r="AX21" s="1507"/>
      <c r="AZ21" s="1524"/>
      <c r="BA21" s="1488"/>
      <c r="BB21" s="204"/>
      <c r="BC21" s="1538"/>
      <c r="BD21" s="1488"/>
      <c r="BE21" s="204"/>
      <c r="BF21" s="1524"/>
      <c r="BG21" s="1488"/>
      <c r="BH21" s="204"/>
      <c r="BI21" s="1524"/>
      <c r="BJ21" s="1488"/>
      <c r="BK21" s="202"/>
      <c r="BL21" s="1507"/>
      <c r="BN21" s="1524"/>
      <c r="BO21" s="1488"/>
      <c r="BP21" s="204"/>
      <c r="BQ21" s="1538"/>
      <c r="BR21" s="1488"/>
      <c r="BS21" s="204"/>
      <c r="BT21" s="1524"/>
      <c r="BU21" s="1488"/>
      <c r="BV21" s="204"/>
      <c r="BW21" s="1524"/>
      <c r="BX21" s="1488"/>
      <c r="BY21" s="202"/>
      <c r="BZ21" s="1507"/>
      <c r="CB21" s="1524"/>
      <c r="CC21" s="1488"/>
      <c r="CD21" s="204"/>
      <c r="CE21" s="1538"/>
      <c r="CF21" s="1488"/>
      <c r="CG21" s="204"/>
      <c r="CH21" s="1524"/>
      <c r="CI21" s="1488"/>
      <c r="CJ21" s="204"/>
      <c r="CK21" s="1524"/>
      <c r="CL21" s="1488"/>
      <c r="CM21" s="202"/>
      <c r="CN21" s="1507"/>
    </row>
    <row r="22" spans="2:92" ht="57" customHeight="1" x14ac:dyDescent="0.2">
      <c r="B22" s="1586"/>
      <c r="C22" s="1472"/>
      <c r="D22" s="1472"/>
      <c r="E22" s="1441"/>
      <c r="F22" s="1554"/>
      <c r="G22" s="315" t="str">
        <f>+'Plan de Accion Proyectos estrat'!K25</f>
        <v>Apoyo en soporte, desarrollo y mantenimiento e integración de aplicativos misionales</v>
      </c>
      <c r="H22" s="1495"/>
      <c r="I22" s="204"/>
      <c r="J22" s="303">
        <f>+'Plan de Accion Proyectos estrat'!AJ25</f>
        <v>0.18138226171520111</v>
      </c>
      <c r="K22" s="476">
        <f>+'Plan de Accion Proyectos estrat'!BS25</f>
        <v>0.18138226171520111</v>
      </c>
      <c r="L22" s="476">
        <f>IF(K22&gt;100%,100%,K22)</f>
        <v>0.18138226171520111</v>
      </c>
      <c r="M22" s="476">
        <f>+'Plan de Accion Proyectos estrat'!AL25</f>
        <v>0.1247917512748359</v>
      </c>
      <c r="N22" s="476">
        <f t="shared" ref="N22:N32" si="0">IF(M22&gt;100%,100%,M22)</f>
        <v>0.1247917512748359</v>
      </c>
      <c r="O22" s="476">
        <f t="shared" ref="O22:O32" si="1">+N22</f>
        <v>0.1247917512748359</v>
      </c>
      <c r="P22" s="213"/>
      <c r="Q22" s="303">
        <f>+'Plan de Accion Proyectos estrat'!AT25</f>
        <v>1.6806385186265786</v>
      </c>
      <c r="R22" s="304">
        <f>+'Plan de Accion Proyectos estrat'!BU25</f>
        <v>1.6806385186265786</v>
      </c>
      <c r="S22" s="212">
        <f>IF(R22&gt;100%,100%,R22)</f>
        <v>1</v>
      </c>
      <c r="T22" s="304">
        <f>+'Plan de Accion Proyectos estrat'!AV25</f>
        <v>0.29957582467401656</v>
      </c>
      <c r="U22" s="304">
        <f>IF(T22&gt;100%,100%,T22)</f>
        <v>0.29957582467401656</v>
      </c>
      <c r="V22" s="211">
        <f>+U22</f>
        <v>0.29957582467401656</v>
      </c>
      <c r="W22" s="213"/>
      <c r="X22" s="303">
        <f>+'Plan de Accion Proyectos estrat'!BD25</f>
        <v>1.4518824850173879</v>
      </c>
      <c r="Y22" s="304">
        <f>+'Plan de Accion Proyectos estrat'!BW25</f>
        <v>1.4518824850173879</v>
      </c>
      <c r="Z22" s="212">
        <f>IF(Y22&gt;100%,100%,Y22)</f>
        <v>1</v>
      </c>
      <c r="AA22" s="289">
        <f>+'Plan de Accion Proyectos estrat'!BF25</f>
        <v>0.45056958806558872</v>
      </c>
      <c r="AB22" s="289">
        <f>IF(AA22&gt;100%,100%,AA22)</f>
        <v>0.45056958806558872</v>
      </c>
      <c r="AC22" s="302">
        <f>+AB22</f>
        <v>0.45056958806558872</v>
      </c>
      <c r="AD22" s="213"/>
      <c r="AE22" s="303">
        <f>+'Plan de Accion Proyectos estrat'!BN25</f>
        <v>1.4518824850173879</v>
      </c>
      <c r="AF22" s="304">
        <f>+'Plan de Accion Proyectos estrat'!BY25</f>
        <v>1.4518824850173879</v>
      </c>
      <c r="AG22" s="212">
        <f>IF(AF22&gt;100%,100%,AF22)</f>
        <v>1</v>
      </c>
      <c r="AH22" s="304">
        <f>+'Plan de Accion Proyectos estrat'!BP25</f>
        <v>0.60156335145716089</v>
      </c>
      <c r="AI22" s="211">
        <f>IF(AH22&gt;100%,100%,AH22)</f>
        <v>0.60156335145716089</v>
      </c>
      <c r="AJ22" s="1482"/>
      <c r="AK22" s="1165">
        <v>1</v>
      </c>
      <c r="AL22" s="1524"/>
      <c r="AM22" s="1488"/>
      <c r="AN22" s="204"/>
      <c r="AO22" s="1538"/>
      <c r="AP22" s="1488"/>
      <c r="AQ22" s="204"/>
      <c r="AR22" s="1524"/>
      <c r="AS22" s="1488"/>
      <c r="AT22" s="204"/>
      <c r="AU22" s="1524"/>
      <c r="AV22" s="1488"/>
      <c r="AW22" s="202"/>
      <c r="AX22" s="1507"/>
      <c r="AZ22" s="1524"/>
      <c r="BA22" s="1488"/>
      <c r="BB22" s="204"/>
      <c r="BC22" s="1538"/>
      <c r="BD22" s="1488"/>
      <c r="BE22" s="204"/>
      <c r="BF22" s="1524"/>
      <c r="BG22" s="1488"/>
      <c r="BH22" s="204"/>
      <c r="BI22" s="1524"/>
      <c r="BJ22" s="1488"/>
      <c r="BK22" s="202"/>
      <c r="BL22" s="1507"/>
      <c r="BN22" s="1524"/>
      <c r="BO22" s="1488"/>
      <c r="BP22" s="204"/>
      <c r="BQ22" s="1538"/>
      <c r="BR22" s="1488"/>
      <c r="BS22" s="204"/>
      <c r="BT22" s="1524"/>
      <c r="BU22" s="1488"/>
      <c r="BV22" s="204"/>
      <c r="BW22" s="1524"/>
      <c r="BX22" s="1488"/>
      <c r="BY22" s="202"/>
      <c r="BZ22" s="1507"/>
      <c r="CB22" s="1524"/>
      <c r="CC22" s="1488"/>
      <c r="CD22" s="204"/>
      <c r="CE22" s="1538"/>
      <c r="CF22" s="1488"/>
      <c r="CG22" s="204"/>
      <c r="CH22" s="1524"/>
      <c r="CI22" s="1488"/>
      <c r="CJ22" s="204"/>
      <c r="CK22" s="1524"/>
      <c r="CL22" s="1488"/>
      <c r="CM22" s="202"/>
      <c r="CN22" s="1507"/>
    </row>
    <row r="23" spans="2:92" ht="85.5" customHeight="1" x14ac:dyDescent="0.2">
      <c r="B23" s="1586"/>
      <c r="C23" s="1479" t="s">
        <v>344</v>
      </c>
      <c r="D23" s="1436" t="s">
        <v>340</v>
      </c>
      <c r="E23" s="1442" t="s">
        <v>12</v>
      </c>
      <c r="F23" s="1442" t="s">
        <v>330</v>
      </c>
      <c r="G23" s="315" t="str">
        <f>+'Plan de Accion Proyectos estrat'!K26</f>
        <v>Proceso de saneamiento de aportes ejecutado</v>
      </c>
      <c r="H23" s="1495"/>
      <c r="I23" s="204"/>
      <c r="J23" s="303">
        <f>+'Plan de Accion Proyectos estrat'!AJ26</f>
        <v>0.75555556883105812</v>
      </c>
      <c r="K23" s="476">
        <f>+'Plan de Accion Proyectos estrat'!BS26</f>
        <v>0.75555556883105812</v>
      </c>
      <c r="L23" s="476">
        <f>IF(K23&gt;100%,100%,K23)</f>
        <v>0.75555556883105812</v>
      </c>
      <c r="M23" s="476">
        <f>+'Plan de Accion Proyectos estrat'!AL26</f>
        <v>0.18888889220776453</v>
      </c>
      <c r="N23" s="476">
        <f t="shared" si="0"/>
        <v>0.18888889220776453</v>
      </c>
      <c r="O23" s="476">
        <f t="shared" si="1"/>
        <v>0.18888889220776453</v>
      </c>
      <c r="P23" s="213"/>
      <c r="Q23" s="303">
        <f>+'Plan de Accion Proyectos estrat'!AT26</f>
        <v>1</v>
      </c>
      <c r="R23" s="304">
        <f>+'Plan de Accion Proyectos estrat'!BU26</f>
        <v>1</v>
      </c>
      <c r="S23" s="212">
        <f>IF(R23&gt;100%,100%,R23)</f>
        <v>1</v>
      </c>
      <c r="T23" s="304">
        <f>+'Plan de Accion Proyectos estrat'!AV26</f>
        <v>0.43888889220776456</v>
      </c>
      <c r="U23" s="304">
        <f>IF(T23&gt;100%,100%,T23)</f>
        <v>0.43888889220776456</v>
      </c>
      <c r="V23" s="211">
        <f>+U23</f>
        <v>0.43888889220776456</v>
      </c>
      <c r="W23" s="213"/>
      <c r="X23" s="303">
        <f>+'Plan de Accion Proyectos estrat'!BD26</f>
        <v>1</v>
      </c>
      <c r="Y23" s="304">
        <f>+'Plan de Accion Proyectos estrat'!BW26</f>
        <v>1</v>
      </c>
      <c r="Z23" s="212">
        <f>IF(Y23&gt;100%,100%,Y23)</f>
        <v>1</v>
      </c>
      <c r="AA23" s="289">
        <f>+'Plan de Accion Proyectos estrat'!BF26</f>
        <v>0.6888888922077645</v>
      </c>
      <c r="AB23" s="289">
        <f>IF(AA23&gt;100%,100%,AA23)</f>
        <v>0.6888888922077645</v>
      </c>
      <c r="AC23" s="302">
        <f>+AB23</f>
        <v>0.6888888922077645</v>
      </c>
      <c r="AD23" s="213"/>
      <c r="AE23" s="303">
        <f>+'Plan de Accion Proyectos estrat'!BN26</f>
        <v>1</v>
      </c>
      <c r="AF23" s="304">
        <f>+'Plan de Accion Proyectos estrat'!BY26</f>
        <v>1</v>
      </c>
      <c r="AG23" s="212">
        <f>IF(AF23&gt;100%,100%,AF23)</f>
        <v>1</v>
      </c>
      <c r="AH23" s="304">
        <f>+'Plan de Accion Proyectos estrat'!BP26</f>
        <v>0.9388888922077645</v>
      </c>
      <c r="AI23" s="211">
        <f>IF(AH23&gt;100%,100%,AH23)</f>
        <v>0.9388888922077645</v>
      </c>
      <c r="AJ23" s="1482"/>
      <c r="AL23" s="1524"/>
      <c r="AM23" s="1488"/>
      <c r="AN23" s="204"/>
      <c r="AO23" s="1538"/>
      <c r="AP23" s="1488"/>
      <c r="AQ23" s="204"/>
      <c r="AR23" s="1524"/>
      <c r="AS23" s="1488"/>
      <c r="AT23" s="204"/>
      <c r="AU23" s="1524"/>
      <c r="AV23" s="1488"/>
      <c r="AW23" s="202"/>
      <c r="AX23" s="1507"/>
      <c r="AZ23" s="1524"/>
      <c r="BA23" s="1488"/>
      <c r="BB23" s="204"/>
      <c r="BC23" s="1538"/>
      <c r="BD23" s="1488"/>
      <c r="BE23" s="204"/>
      <c r="BF23" s="1524"/>
      <c r="BG23" s="1488"/>
      <c r="BH23" s="204"/>
      <c r="BI23" s="1524"/>
      <c r="BJ23" s="1488"/>
      <c r="BK23" s="202"/>
      <c r="BL23" s="1507"/>
      <c r="BN23" s="1524"/>
      <c r="BO23" s="1488"/>
      <c r="BP23" s="204"/>
      <c r="BQ23" s="1538"/>
      <c r="BR23" s="1488"/>
      <c r="BS23" s="204"/>
      <c r="BT23" s="1524"/>
      <c r="BU23" s="1488"/>
      <c r="BV23" s="204"/>
      <c r="BW23" s="1524"/>
      <c r="BX23" s="1488"/>
      <c r="BY23" s="202"/>
      <c r="BZ23" s="1507"/>
      <c r="CB23" s="1524"/>
      <c r="CC23" s="1488"/>
      <c r="CD23" s="204"/>
      <c r="CE23" s="1538"/>
      <c r="CF23" s="1488"/>
      <c r="CG23" s="204"/>
      <c r="CH23" s="1524"/>
      <c r="CI23" s="1488"/>
      <c r="CJ23" s="204"/>
      <c r="CK23" s="1524"/>
      <c r="CL23" s="1488"/>
      <c r="CM23" s="202"/>
      <c r="CN23" s="1507"/>
    </row>
    <row r="24" spans="2:92" ht="42.75" x14ac:dyDescent="0.2">
      <c r="B24" s="1586"/>
      <c r="C24" s="1480"/>
      <c r="D24" s="1437"/>
      <c r="E24" s="1443"/>
      <c r="F24" s="1443"/>
      <c r="G24" s="315" t="str">
        <f>+'Plan de Accion Proyectos estrat'!K27</f>
        <v>Procesos optimizados mediante desarrollos o ajustes tecnológicos</v>
      </c>
      <c r="H24" s="1495"/>
      <c r="I24" s="204"/>
      <c r="J24" s="303">
        <f>+'Plan de Accion Proyectos estrat'!AJ27</f>
        <v>0</v>
      </c>
      <c r="K24" s="476">
        <f>+'Plan de Accion Proyectos estrat'!BS27</f>
        <v>0</v>
      </c>
      <c r="L24" s="476">
        <f t="shared" ref="L24:L32" si="2">IF(K24&gt;100%,100%,K24)</f>
        <v>0</v>
      </c>
      <c r="M24" s="476">
        <f>+'Plan de Accion Proyectos estrat'!AL27</f>
        <v>0</v>
      </c>
      <c r="N24" s="476">
        <f t="shared" si="0"/>
        <v>0</v>
      </c>
      <c r="O24" s="476">
        <f t="shared" si="1"/>
        <v>0</v>
      </c>
      <c r="P24" s="213"/>
      <c r="Q24" s="303">
        <f>+'Plan de Accion Proyectos estrat'!AT27</f>
        <v>0.68013667944235168</v>
      </c>
      <c r="R24" s="304">
        <f>+'Plan de Accion Proyectos estrat'!BU27</f>
        <v>0.68013667944235168</v>
      </c>
      <c r="S24" s="212">
        <f t="shared" ref="S24:S32" si="3">IF(R24&gt;100%,100%,R24)</f>
        <v>0.68013667944235168</v>
      </c>
      <c r="T24" s="304">
        <f>+'Plan de Accion Proyectos estrat'!AV27</f>
        <v>0.17003416986058792</v>
      </c>
      <c r="U24" s="304">
        <f t="shared" ref="U24:U32" si="4">IF(T24&gt;100%,100%,T24)</f>
        <v>0.17003416986058792</v>
      </c>
      <c r="V24" s="211">
        <f t="shared" ref="V24:V32" si="5">+U24</f>
        <v>0.17003416986058792</v>
      </c>
      <c r="W24" s="213"/>
      <c r="X24" s="303">
        <f>+'Plan de Accion Proyectos estrat'!BD27</f>
        <v>1.006302145893629</v>
      </c>
      <c r="Y24" s="304">
        <f>+'Plan de Accion Proyectos estrat'!BW27</f>
        <v>1.006302145893629</v>
      </c>
      <c r="Z24" s="212">
        <f t="shared" ref="Z24:Z32" si="6">IF(Y24&gt;100%,100%,Y24)</f>
        <v>1</v>
      </c>
      <c r="AA24" s="289">
        <f>+'Plan de Accion Proyectos estrat'!BF27</f>
        <v>0.42160970633399514</v>
      </c>
      <c r="AB24" s="289">
        <f t="shared" ref="AB24:AB32" si="7">IF(AA24&gt;100%,100%,AA24)</f>
        <v>0.42160970633399514</v>
      </c>
      <c r="AC24" s="302">
        <f t="shared" ref="AC24:AC32" si="8">+AB24</f>
        <v>0.42160970633399514</v>
      </c>
      <c r="AD24" s="213">
        <v>1</v>
      </c>
      <c r="AE24" s="303">
        <f>+'Plan de Accion Proyectos estrat'!BN27</f>
        <v>0.99100173397758284</v>
      </c>
      <c r="AF24" s="304">
        <f>+'Plan de Accion Proyectos estrat'!BY27</f>
        <v>0.99100173397758284</v>
      </c>
      <c r="AG24" s="212">
        <f t="shared" ref="AG24:AG36" si="9">IF(AF24&gt;100%,100%,AF24)</f>
        <v>0.99100173397758284</v>
      </c>
      <c r="AH24" s="304">
        <f>+'Plan de Accion Proyectos estrat'!BP27</f>
        <v>0.66936013982839082</v>
      </c>
      <c r="AI24" s="211">
        <f t="shared" ref="AI24:AI32" si="10">IF(AH24&gt;100%,100%,AH24)</f>
        <v>0.66936013982839082</v>
      </c>
      <c r="AJ24" s="1482"/>
      <c r="AL24" s="1524"/>
      <c r="AM24" s="1488"/>
      <c r="AN24" s="204"/>
      <c r="AO24" s="1538"/>
      <c r="AP24" s="1488"/>
      <c r="AQ24" s="204"/>
      <c r="AR24" s="1524"/>
      <c r="AS24" s="1488"/>
      <c r="AT24" s="204"/>
      <c r="AU24" s="1524"/>
      <c r="AV24" s="1488"/>
      <c r="AW24" s="202"/>
      <c r="AX24" s="1507"/>
      <c r="AZ24" s="1524"/>
      <c r="BA24" s="1488"/>
      <c r="BB24" s="204"/>
      <c r="BC24" s="1538"/>
      <c r="BD24" s="1488"/>
      <c r="BE24" s="204"/>
      <c r="BF24" s="1524"/>
      <c r="BG24" s="1488"/>
      <c r="BH24" s="204"/>
      <c r="BI24" s="1524"/>
      <c r="BJ24" s="1488"/>
      <c r="BK24" s="202"/>
      <c r="BL24" s="1507"/>
      <c r="BN24" s="1524"/>
      <c r="BO24" s="1488"/>
      <c r="BP24" s="204"/>
      <c r="BQ24" s="1538"/>
      <c r="BR24" s="1488"/>
      <c r="BS24" s="204"/>
      <c r="BT24" s="1524"/>
      <c r="BU24" s="1488"/>
      <c r="BV24" s="204"/>
      <c r="BW24" s="1524"/>
      <c r="BX24" s="1488"/>
      <c r="BY24" s="202"/>
      <c r="BZ24" s="1507"/>
      <c r="CB24" s="1524"/>
      <c r="CC24" s="1488"/>
      <c r="CD24" s="204"/>
      <c r="CE24" s="1538"/>
      <c r="CF24" s="1488"/>
      <c r="CG24" s="204"/>
      <c r="CH24" s="1524"/>
      <c r="CI24" s="1488"/>
      <c r="CJ24" s="204"/>
      <c r="CK24" s="1524"/>
      <c r="CL24" s="1488"/>
      <c r="CM24" s="202"/>
      <c r="CN24" s="1507"/>
    </row>
    <row r="25" spans="2:92" ht="71.25" x14ac:dyDescent="0.2">
      <c r="B25" s="1586"/>
      <c r="C25" s="1480"/>
      <c r="D25" s="1437"/>
      <c r="E25" s="1443"/>
      <c r="F25" s="1443"/>
      <c r="G25" s="315" t="str">
        <f>+'Plan de Accion Proyectos estrat'!K28</f>
        <v>Controles de los procesos de liquidación y reconocimiento de UPC y de prestaciones económicas verificados y ajustados</v>
      </c>
      <c r="H25" s="1495"/>
      <c r="I25" s="204"/>
      <c r="J25" s="303">
        <f>+'Plan de Accion Proyectos estrat'!AJ28</f>
        <v>0.53684281288191593</v>
      </c>
      <c r="K25" s="476">
        <f>+'Plan de Accion Proyectos estrat'!BS28</f>
        <v>0.53684281288191593</v>
      </c>
      <c r="L25" s="476">
        <f t="shared" si="2"/>
        <v>0.53684281288191593</v>
      </c>
      <c r="M25" s="476">
        <f>+'Plan de Accion Proyectos estrat'!AL28</f>
        <v>0.13421070322047898</v>
      </c>
      <c r="N25" s="476">
        <f t="shared" si="0"/>
        <v>0.13421070322047898</v>
      </c>
      <c r="O25" s="476">
        <f t="shared" si="1"/>
        <v>0.13421070322047898</v>
      </c>
      <c r="P25" s="213"/>
      <c r="Q25" s="303">
        <f>+'Plan de Accion Proyectos estrat'!AT28</f>
        <v>0.76691829700760794</v>
      </c>
      <c r="R25" s="304">
        <f>+'Plan de Accion Proyectos estrat'!BU28</f>
        <v>0.76691829700760794</v>
      </c>
      <c r="S25" s="212">
        <f t="shared" si="3"/>
        <v>0.76691829700760794</v>
      </c>
      <c r="T25" s="304">
        <f>+'Plan de Accion Proyectos estrat'!AV28</f>
        <v>0.32594027747238097</v>
      </c>
      <c r="U25" s="304">
        <f t="shared" si="4"/>
        <v>0.32594027747238097</v>
      </c>
      <c r="V25" s="211">
        <f t="shared" si="5"/>
        <v>0.32594027747238097</v>
      </c>
      <c r="W25" s="213"/>
      <c r="X25" s="303">
        <f>+'Plan de Accion Proyectos estrat'!BD28</f>
        <v>0.76691829700760794</v>
      </c>
      <c r="Y25" s="304">
        <f>+'Plan de Accion Proyectos estrat'!BW28</f>
        <v>0.76691829700760794</v>
      </c>
      <c r="Z25" s="212">
        <f t="shared" si="6"/>
        <v>0.76691829700760794</v>
      </c>
      <c r="AA25" s="289">
        <f>+'Plan de Accion Proyectos estrat'!BF28</f>
        <v>0.51766985172428293</v>
      </c>
      <c r="AB25" s="289">
        <f t="shared" si="7"/>
        <v>0.51766985172428293</v>
      </c>
      <c r="AC25" s="302">
        <f t="shared" si="8"/>
        <v>0.51766985172428293</v>
      </c>
      <c r="AD25" s="213"/>
      <c r="AE25" s="303">
        <f>+'Plan de Accion Proyectos estrat'!BN28</f>
        <v>0.76691829700760794</v>
      </c>
      <c r="AF25" s="304">
        <f>+'Plan de Accion Proyectos estrat'!BY28</f>
        <v>0.76691829700760794</v>
      </c>
      <c r="AG25" s="212">
        <f t="shared" si="9"/>
        <v>0.76691829700760794</v>
      </c>
      <c r="AH25" s="304">
        <f>+'Plan de Accion Proyectos estrat'!BP28</f>
        <v>0.70939942597618499</v>
      </c>
      <c r="AI25" s="211">
        <f t="shared" si="10"/>
        <v>0.70939942597618499</v>
      </c>
      <c r="AJ25" s="1482"/>
      <c r="AL25" s="1524"/>
      <c r="AM25" s="1488"/>
      <c r="AN25" s="204"/>
      <c r="AO25" s="1538"/>
      <c r="AP25" s="1488"/>
      <c r="AQ25" s="204"/>
      <c r="AR25" s="1524"/>
      <c r="AS25" s="1488"/>
      <c r="AT25" s="204"/>
      <c r="AU25" s="1524"/>
      <c r="AV25" s="1488"/>
      <c r="AW25" s="202"/>
      <c r="AX25" s="1507"/>
      <c r="AZ25" s="1524"/>
      <c r="BA25" s="1488"/>
      <c r="BB25" s="204"/>
      <c r="BC25" s="1538"/>
      <c r="BD25" s="1488"/>
      <c r="BE25" s="204"/>
      <c r="BF25" s="1524"/>
      <c r="BG25" s="1488"/>
      <c r="BH25" s="204"/>
      <c r="BI25" s="1524"/>
      <c r="BJ25" s="1488"/>
      <c r="BK25" s="202"/>
      <c r="BL25" s="1507"/>
      <c r="BN25" s="1524"/>
      <c r="BO25" s="1488"/>
      <c r="BP25" s="204"/>
      <c r="BQ25" s="1538"/>
      <c r="BR25" s="1488"/>
      <c r="BS25" s="204"/>
      <c r="BT25" s="1524"/>
      <c r="BU25" s="1488"/>
      <c r="BV25" s="204"/>
      <c r="BW25" s="1524"/>
      <c r="BX25" s="1488"/>
      <c r="BY25" s="202"/>
      <c r="BZ25" s="1507"/>
      <c r="CB25" s="1524"/>
      <c r="CC25" s="1488"/>
      <c r="CD25" s="204"/>
      <c r="CE25" s="1538"/>
      <c r="CF25" s="1488"/>
      <c r="CG25" s="204"/>
      <c r="CH25" s="1524"/>
      <c r="CI25" s="1488"/>
      <c r="CJ25" s="204"/>
      <c r="CK25" s="1524"/>
      <c r="CL25" s="1488"/>
      <c r="CM25" s="202"/>
      <c r="CN25" s="1507"/>
    </row>
    <row r="26" spans="2:92" ht="37.5" customHeight="1" x14ac:dyDescent="0.2">
      <c r="B26" s="1586"/>
      <c r="C26" s="1480"/>
      <c r="D26" s="1437"/>
      <c r="E26" s="1443"/>
      <c r="F26" s="1443"/>
      <c r="G26" s="315" t="str">
        <f>+'Plan de Accion Proyectos estrat'!K29</f>
        <v>Proceso de Compensación ejecutado</v>
      </c>
      <c r="H26" s="1495"/>
      <c r="I26" s="204"/>
      <c r="J26" s="303">
        <f>+'Plan de Accion Proyectos estrat'!AJ29</f>
        <v>0.47486723147428367</v>
      </c>
      <c r="K26" s="476">
        <f>+'Plan de Accion Proyectos estrat'!BS29</f>
        <v>0.47486723147428367</v>
      </c>
      <c r="L26" s="476">
        <f t="shared" si="2"/>
        <v>0.47486723147428367</v>
      </c>
      <c r="M26" s="476">
        <f>+'Plan de Accion Proyectos estrat'!AL29</f>
        <v>0.11871680786857092</v>
      </c>
      <c r="N26" s="476">
        <f t="shared" si="0"/>
        <v>0.11871680786857092</v>
      </c>
      <c r="O26" s="476">
        <f t="shared" si="1"/>
        <v>0.11871680786857092</v>
      </c>
      <c r="P26" s="213"/>
      <c r="Q26" s="303">
        <f>+'Plan de Accion Proyectos estrat'!AT29</f>
        <v>0.64212385146162543</v>
      </c>
      <c r="R26" s="304">
        <f>+'Plan de Accion Proyectos estrat'!BU29</f>
        <v>0.64212385146162543</v>
      </c>
      <c r="S26" s="212">
        <f t="shared" si="3"/>
        <v>0.64212385146162543</v>
      </c>
      <c r="T26" s="304">
        <f>+'Plan de Accion Proyectos estrat'!AV29</f>
        <v>0.27924777073397727</v>
      </c>
      <c r="U26" s="304">
        <f t="shared" si="4"/>
        <v>0.27924777073397727</v>
      </c>
      <c r="V26" s="211">
        <f t="shared" si="5"/>
        <v>0.27924777073397727</v>
      </c>
      <c r="W26" s="213"/>
      <c r="X26" s="303">
        <f>+'Plan de Accion Proyectos estrat'!BD29</f>
        <v>0.64212385146162543</v>
      </c>
      <c r="Y26" s="304">
        <f>+'Plan de Accion Proyectos estrat'!BW29</f>
        <v>0.64212385146162543</v>
      </c>
      <c r="Z26" s="212">
        <f t="shared" si="6"/>
        <v>0.64212385146162543</v>
      </c>
      <c r="AA26" s="289">
        <f>+'Plan de Accion Proyectos estrat'!BF29</f>
        <v>0.43977873359938363</v>
      </c>
      <c r="AB26" s="289">
        <f t="shared" si="7"/>
        <v>0.43977873359938363</v>
      </c>
      <c r="AC26" s="302">
        <f t="shared" si="8"/>
        <v>0.43977873359938363</v>
      </c>
      <c r="AD26" s="213"/>
      <c r="AE26" s="303">
        <f>+'Plan de Accion Proyectos estrat'!BN29</f>
        <v>0.64212385146162543</v>
      </c>
      <c r="AF26" s="304">
        <f>+'Plan de Accion Proyectos estrat'!BY29</f>
        <v>0.64212385146162543</v>
      </c>
      <c r="AG26" s="212">
        <f t="shared" si="9"/>
        <v>0.64212385146162543</v>
      </c>
      <c r="AH26" s="304">
        <f>+'Plan de Accion Proyectos estrat'!BP29</f>
        <v>0.60030969646478993</v>
      </c>
      <c r="AI26" s="211">
        <f t="shared" si="10"/>
        <v>0.60030969646478993</v>
      </c>
      <c r="AJ26" s="1482"/>
      <c r="AL26" s="1524"/>
      <c r="AM26" s="1488"/>
      <c r="AN26" s="204"/>
      <c r="AO26" s="1538"/>
      <c r="AP26" s="1488"/>
      <c r="AQ26" s="204"/>
      <c r="AR26" s="1524"/>
      <c r="AS26" s="1488"/>
      <c r="AT26" s="204"/>
      <c r="AU26" s="1524"/>
      <c r="AV26" s="1488"/>
      <c r="AW26" s="202"/>
      <c r="AX26" s="1507"/>
      <c r="AZ26" s="1524"/>
      <c r="BA26" s="1488"/>
      <c r="BB26" s="204"/>
      <c r="BC26" s="1538"/>
      <c r="BD26" s="1488"/>
      <c r="BE26" s="204"/>
      <c r="BF26" s="1524"/>
      <c r="BG26" s="1488"/>
      <c r="BH26" s="204"/>
      <c r="BI26" s="1524"/>
      <c r="BJ26" s="1488"/>
      <c r="BK26" s="202"/>
      <c r="BL26" s="1507"/>
      <c r="BN26" s="1524"/>
      <c r="BO26" s="1488"/>
      <c r="BP26" s="204"/>
      <c r="BQ26" s="1538"/>
      <c r="BR26" s="1488"/>
      <c r="BS26" s="204"/>
      <c r="BT26" s="1524"/>
      <c r="BU26" s="1488"/>
      <c r="BV26" s="204"/>
      <c r="BW26" s="1524"/>
      <c r="BX26" s="1488"/>
      <c r="BY26" s="202"/>
      <c r="BZ26" s="1507"/>
      <c r="CB26" s="1524"/>
      <c r="CC26" s="1488"/>
      <c r="CD26" s="204"/>
      <c r="CE26" s="1538"/>
      <c r="CF26" s="1488"/>
      <c r="CG26" s="204"/>
      <c r="CH26" s="1524"/>
      <c r="CI26" s="1488"/>
      <c r="CJ26" s="204"/>
      <c r="CK26" s="1524"/>
      <c r="CL26" s="1488"/>
      <c r="CM26" s="202"/>
      <c r="CN26" s="1507"/>
    </row>
    <row r="27" spans="2:92" ht="28.5" x14ac:dyDescent="0.2">
      <c r="B27" s="1586"/>
      <c r="C27" s="1480"/>
      <c r="D27" s="1437"/>
      <c r="E27" s="1443"/>
      <c r="F27" s="1443"/>
      <c r="G27" s="315" t="str">
        <f>+'Plan de Accion Proyectos estrat'!K30</f>
        <v>Prestaciones económicas REX</v>
      </c>
      <c r="H27" s="1495"/>
      <c r="I27" s="204"/>
      <c r="J27" s="303">
        <f>+'Plan de Accion Proyectos estrat'!AJ30</f>
        <v>0.67777777994080279</v>
      </c>
      <c r="K27" s="476">
        <f>+'Plan de Accion Proyectos estrat'!BS30</f>
        <v>0.67777777994080279</v>
      </c>
      <c r="L27" s="476">
        <f>IF(K27&gt;100%,100%,K27)</f>
        <v>0.67777777994080279</v>
      </c>
      <c r="M27" s="476">
        <f>+'Plan de Accion Proyectos estrat'!AL30</f>
        <v>0.1694444449852007</v>
      </c>
      <c r="N27" s="476">
        <f t="shared" si="0"/>
        <v>0.1694444449852007</v>
      </c>
      <c r="O27" s="476">
        <f t="shared" si="1"/>
        <v>0.1694444449852007</v>
      </c>
      <c r="P27" s="213"/>
      <c r="Q27" s="303">
        <f>+'Plan de Accion Proyectos estrat'!AT30</f>
        <v>1</v>
      </c>
      <c r="R27" s="304">
        <f>+'Plan de Accion Proyectos estrat'!BU30</f>
        <v>1</v>
      </c>
      <c r="S27" s="212">
        <f t="shared" si="3"/>
        <v>1</v>
      </c>
      <c r="T27" s="304">
        <f>+'Plan de Accion Proyectos estrat'!AV30</f>
        <v>0.41944444498520067</v>
      </c>
      <c r="U27" s="304">
        <f t="shared" si="4"/>
        <v>0.41944444498520067</v>
      </c>
      <c r="V27" s="211">
        <f t="shared" si="5"/>
        <v>0.41944444498520067</v>
      </c>
      <c r="W27" s="213"/>
      <c r="X27" s="303">
        <f>+'Plan de Accion Proyectos estrat'!BD30</f>
        <v>1</v>
      </c>
      <c r="Y27" s="304">
        <f>+'Plan de Accion Proyectos estrat'!BW30</f>
        <v>1</v>
      </c>
      <c r="Z27" s="212">
        <f t="shared" si="6"/>
        <v>1</v>
      </c>
      <c r="AA27" s="289">
        <f>+'Plan de Accion Proyectos estrat'!BF30</f>
        <v>0.66944444498520073</v>
      </c>
      <c r="AB27" s="289">
        <f t="shared" si="7"/>
        <v>0.66944444498520073</v>
      </c>
      <c r="AC27" s="302">
        <f t="shared" si="8"/>
        <v>0.66944444498520073</v>
      </c>
      <c r="AD27" s="213"/>
      <c r="AE27" s="303">
        <f>+'Plan de Accion Proyectos estrat'!BN30</f>
        <v>1</v>
      </c>
      <c r="AF27" s="304">
        <f>+'Plan de Accion Proyectos estrat'!BY30</f>
        <v>1</v>
      </c>
      <c r="AG27" s="212">
        <f t="shared" si="9"/>
        <v>1</v>
      </c>
      <c r="AH27" s="304">
        <f>+'Plan de Accion Proyectos estrat'!BP30</f>
        <v>0.91944444498520073</v>
      </c>
      <c r="AI27" s="211">
        <f t="shared" si="10"/>
        <v>0.91944444498520073</v>
      </c>
      <c r="AJ27" s="1482"/>
      <c r="AL27" s="1524"/>
      <c r="AM27" s="1488"/>
      <c r="AN27" s="204"/>
      <c r="AO27" s="1538"/>
      <c r="AP27" s="1488"/>
      <c r="AQ27" s="204"/>
      <c r="AR27" s="1524"/>
      <c r="AS27" s="1488"/>
      <c r="AT27" s="204"/>
      <c r="AU27" s="1524"/>
      <c r="AV27" s="1488"/>
      <c r="AW27" s="202"/>
      <c r="AX27" s="1507"/>
      <c r="AZ27" s="1524"/>
      <c r="BA27" s="1488"/>
      <c r="BB27" s="204"/>
      <c r="BC27" s="1538"/>
      <c r="BD27" s="1488"/>
      <c r="BE27" s="204"/>
      <c r="BF27" s="1524"/>
      <c r="BG27" s="1488"/>
      <c r="BH27" s="204"/>
      <c r="BI27" s="1524"/>
      <c r="BJ27" s="1488"/>
      <c r="BK27" s="202"/>
      <c r="BL27" s="1507"/>
      <c r="BN27" s="1524"/>
      <c r="BO27" s="1488"/>
      <c r="BP27" s="204"/>
      <c r="BQ27" s="1538"/>
      <c r="BR27" s="1488"/>
      <c r="BS27" s="204"/>
      <c r="BT27" s="1524"/>
      <c r="BU27" s="1488"/>
      <c r="BV27" s="204"/>
      <c r="BW27" s="1524"/>
      <c r="BX27" s="1488"/>
      <c r="BY27" s="202"/>
      <c r="BZ27" s="1507"/>
      <c r="CB27" s="1524"/>
      <c r="CC27" s="1488"/>
      <c r="CD27" s="204"/>
      <c r="CE27" s="1538"/>
      <c r="CF27" s="1488"/>
      <c r="CG27" s="204"/>
      <c r="CH27" s="1524"/>
      <c r="CI27" s="1488"/>
      <c r="CJ27" s="204"/>
      <c r="CK27" s="1524"/>
      <c r="CL27" s="1488"/>
      <c r="CM27" s="202"/>
      <c r="CN27" s="1507"/>
    </row>
    <row r="28" spans="2:92" ht="28.5" x14ac:dyDescent="0.2">
      <c r="B28" s="1586"/>
      <c r="C28" s="1480"/>
      <c r="D28" s="1437"/>
      <c r="E28" s="1443"/>
      <c r="F28" s="1443"/>
      <c r="G28" s="1078" t="str">
        <f>+'Plan de Accion Proyectos estrat'!K31</f>
        <v>Devoluciones económicas REX</v>
      </c>
      <c r="H28" s="1495"/>
      <c r="I28" s="204"/>
      <c r="J28" s="1075">
        <f>+'Plan de Accion Proyectos estrat'!AJ31</f>
        <v>0.67777777994080279</v>
      </c>
      <c r="K28" s="1077">
        <f>+'Plan de Accion Proyectos estrat'!BS31</f>
        <v>0.67777777994080279</v>
      </c>
      <c r="L28" s="1077">
        <f>IF(K28&gt;100%,100%,K28)</f>
        <v>0.67777777994080279</v>
      </c>
      <c r="M28" s="1077">
        <f>+'Plan de Accion Proyectos estrat'!AL31</f>
        <v>0.1694444449852007</v>
      </c>
      <c r="N28" s="1077">
        <f t="shared" ref="N28" si="11">IF(M28&gt;100%,100%,M28)</f>
        <v>0.1694444449852007</v>
      </c>
      <c r="O28" s="1077">
        <f t="shared" ref="O28" si="12">+N28</f>
        <v>0.1694444449852007</v>
      </c>
      <c r="P28" s="213"/>
      <c r="Q28" s="1075">
        <f>+'Plan de Accion Proyectos estrat'!AT31</f>
        <v>1</v>
      </c>
      <c r="R28" s="1077">
        <f>+'Plan de Accion Proyectos estrat'!BU31</f>
        <v>1</v>
      </c>
      <c r="S28" s="212">
        <f t="shared" ref="S28" si="13">IF(R28&gt;100%,100%,R28)</f>
        <v>1</v>
      </c>
      <c r="T28" s="1077">
        <f>+'Plan de Accion Proyectos estrat'!AV31</f>
        <v>0.41944444498520067</v>
      </c>
      <c r="U28" s="1077">
        <f t="shared" ref="U28" si="14">IF(T28&gt;100%,100%,T28)</f>
        <v>0.41944444498520067</v>
      </c>
      <c r="V28" s="211">
        <f t="shared" ref="V28" si="15">+U28</f>
        <v>0.41944444498520067</v>
      </c>
      <c r="W28" s="213"/>
      <c r="X28" s="1075">
        <f>+'Plan de Accion Proyectos estrat'!BD31</f>
        <v>1</v>
      </c>
      <c r="Y28" s="1077">
        <f>+'Plan de Accion Proyectos estrat'!BW31</f>
        <v>1</v>
      </c>
      <c r="Z28" s="212">
        <f t="shared" ref="Z28" si="16">IF(Y28&gt;100%,100%,Y28)</f>
        <v>1</v>
      </c>
      <c r="AA28" s="289">
        <f>+'Plan de Accion Proyectos estrat'!BF31</f>
        <v>0.66944444498520073</v>
      </c>
      <c r="AB28" s="289">
        <f t="shared" ref="AB28" si="17">IF(AA28&gt;100%,100%,AA28)</f>
        <v>0.66944444498520073</v>
      </c>
      <c r="AC28" s="1076">
        <f t="shared" ref="AC28" si="18">+AB28</f>
        <v>0.66944444498520073</v>
      </c>
      <c r="AD28" s="213"/>
      <c r="AE28" s="1075">
        <f>+'Plan de Accion Proyectos estrat'!BN31</f>
        <v>1</v>
      </c>
      <c r="AF28" s="1077">
        <f>+'Plan de Accion Proyectos estrat'!BY31</f>
        <v>1</v>
      </c>
      <c r="AG28" s="212">
        <f t="shared" ref="AG28" si="19">IF(AF28&gt;100%,100%,AF28)</f>
        <v>1</v>
      </c>
      <c r="AH28" s="1077">
        <f>+'Plan de Accion Proyectos estrat'!BP31</f>
        <v>0.91944444498520073</v>
      </c>
      <c r="AI28" s="211">
        <f t="shared" ref="AI28" si="20">IF(AH28&gt;100%,100%,AH28)</f>
        <v>0.91944444498520073</v>
      </c>
      <c r="AJ28" s="1482"/>
      <c r="AL28" s="1524"/>
      <c r="AM28" s="1488"/>
      <c r="AN28" s="204"/>
      <c r="AO28" s="1538"/>
      <c r="AP28" s="1488"/>
      <c r="AQ28" s="204"/>
      <c r="AR28" s="1524"/>
      <c r="AS28" s="1488"/>
      <c r="AT28" s="204"/>
      <c r="AU28" s="1524"/>
      <c r="AV28" s="1488"/>
      <c r="AW28" s="202"/>
      <c r="AX28" s="1507"/>
      <c r="AZ28" s="1524"/>
      <c r="BA28" s="1488"/>
      <c r="BB28" s="204"/>
      <c r="BC28" s="1538"/>
      <c r="BD28" s="1488"/>
      <c r="BE28" s="204"/>
      <c r="BF28" s="1524"/>
      <c r="BG28" s="1488"/>
      <c r="BH28" s="204"/>
      <c r="BI28" s="1524"/>
      <c r="BJ28" s="1488"/>
      <c r="BK28" s="202"/>
      <c r="BL28" s="1507"/>
      <c r="BN28" s="1524"/>
      <c r="BO28" s="1488"/>
      <c r="BP28" s="204"/>
      <c r="BQ28" s="1538"/>
      <c r="BR28" s="1488"/>
      <c r="BS28" s="204"/>
      <c r="BT28" s="1524"/>
      <c r="BU28" s="1488"/>
      <c r="BV28" s="204"/>
      <c r="BW28" s="1524"/>
      <c r="BX28" s="1488"/>
      <c r="BY28" s="202"/>
      <c r="BZ28" s="1507"/>
      <c r="CB28" s="1524"/>
      <c r="CC28" s="1488"/>
      <c r="CD28" s="204"/>
      <c r="CE28" s="1538"/>
      <c r="CF28" s="1488"/>
      <c r="CG28" s="204"/>
      <c r="CH28" s="1524"/>
      <c r="CI28" s="1488"/>
      <c r="CJ28" s="204"/>
      <c r="CK28" s="1524"/>
      <c r="CL28" s="1488"/>
      <c r="CM28" s="202"/>
      <c r="CN28" s="1507"/>
    </row>
    <row r="29" spans="2:92" ht="88.5" customHeight="1" x14ac:dyDescent="0.2">
      <c r="B29" s="1586"/>
      <c r="C29" s="1481"/>
      <c r="D29" s="1438"/>
      <c r="E29" s="1444"/>
      <c r="F29" s="1444"/>
      <c r="G29" s="479" t="str">
        <f>+'Plan de Accion Proyectos estrat'!K34</f>
        <v>Informes de auditoría de los procesos de liquidación y reconocimiento de UPC de los afiliados al régimen contributivo y subsidiado</v>
      </c>
      <c r="H29" s="1495"/>
      <c r="I29" s="204"/>
      <c r="J29" s="477" t="e">
        <f>+'Plan de Accion Proyectos estrat'!AJ34</f>
        <v>#DIV/0!</v>
      </c>
      <c r="K29" s="476" t="str">
        <f>+'Plan de Accion Proyectos estrat'!BS34</f>
        <v>No Prog ni Ejec</v>
      </c>
      <c r="L29" s="476" t="s">
        <v>204</v>
      </c>
      <c r="M29" s="476">
        <f>+'Plan de Accion Proyectos estrat'!AL34</f>
        <v>0</v>
      </c>
      <c r="N29" s="476">
        <f t="shared" si="0"/>
        <v>0</v>
      </c>
      <c r="O29" s="476" t="s">
        <v>204</v>
      </c>
      <c r="P29" s="213"/>
      <c r="Q29" s="477" t="e">
        <f>+'Plan de Accion Proyectos estrat'!AT34</f>
        <v>#DIV/0!</v>
      </c>
      <c r="R29" s="476" t="str">
        <f>+'Plan de Accion Proyectos estrat'!BU34</f>
        <v>No Prog ni Ejec</v>
      </c>
      <c r="S29" s="212" t="s">
        <v>204</v>
      </c>
      <c r="T29" s="476">
        <f>+'Plan de Accion Proyectos estrat'!AV34</f>
        <v>0</v>
      </c>
      <c r="U29" s="476">
        <f>IF(T29&gt;100%,100%,T29)</f>
        <v>0</v>
      </c>
      <c r="V29" s="211" t="s">
        <v>204</v>
      </c>
      <c r="W29" s="213"/>
      <c r="X29" s="477" t="e">
        <f>+'Plan de Accion Proyectos estrat'!BD34</f>
        <v>#DIV/0!</v>
      </c>
      <c r="Y29" s="476" t="str">
        <f>+'Plan de Accion Proyectos estrat'!BW34</f>
        <v>No Prog ni Ejec</v>
      </c>
      <c r="Z29" s="212" t="s">
        <v>204</v>
      </c>
      <c r="AA29" s="289">
        <f>+'Plan de Accion Proyectos estrat'!BF34</f>
        <v>0</v>
      </c>
      <c r="AB29" s="289">
        <f>IF(AA29&gt;100%,100%,AA29)</f>
        <v>0</v>
      </c>
      <c r="AC29" s="480" t="s">
        <v>204</v>
      </c>
      <c r="AD29" s="213"/>
      <c r="AE29" s="477">
        <f>+'Plan de Accion Proyectos estrat'!BN34</f>
        <v>0.86666669970786625</v>
      </c>
      <c r="AF29" s="476">
        <f>+'Plan de Accion Proyectos estrat'!BY34</f>
        <v>0.86666669970786625</v>
      </c>
      <c r="AG29" s="212">
        <f>IF(AF29&gt;100%,100%,AF29)</f>
        <v>0.86666669970786625</v>
      </c>
      <c r="AH29" s="476">
        <f>+'Plan de Accion Proyectos estrat'!BP34</f>
        <v>0.86666669970786625</v>
      </c>
      <c r="AI29" s="211">
        <f>IF(AH29&gt;100%,100%,AH29)</f>
        <v>0.86666669970786625</v>
      </c>
      <c r="AJ29" s="1482"/>
      <c r="AL29" s="1524"/>
      <c r="AM29" s="1488"/>
      <c r="AN29" s="204"/>
      <c r="AO29" s="1538"/>
      <c r="AP29" s="1488"/>
      <c r="AQ29" s="204"/>
      <c r="AR29" s="1524"/>
      <c r="AS29" s="1488"/>
      <c r="AT29" s="204"/>
      <c r="AU29" s="1524"/>
      <c r="AV29" s="1488"/>
      <c r="AW29" s="202"/>
      <c r="AX29" s="1507"/>
      <c r="AZ29" s="1524"/>
      <c r="BA29" s="1488"/>
      <c r="BB29" s="204"/>
      <c r="BC29" s="1538"/>
      <c r="BD29" s="1488"/>
      <c r="BE29" s="204"/>
      <c r="BF29" s="1524"/>
      <c r="BG29" s="1488"/>
      <c r="BH29" s="204"/>
      <c r="BI29" s="1524"/>
      <c r="BJ29" s="1488"/>
      <c r="BK29" s="202"/>
      <c r="BL29" s="1507"/>
      <c r="BN29" s="1524"/>
      <c r="BO29" s="1488"/>
      <c r="BP29" s="204"/>
      <c r="BQ29" s="1538"/>
      <c r="BR29" s="1488"/>
      <c r="BS29" s="204"/>
      <c r="BT29" s="1524"/>
      <c r="BU29" s="1488"/>
      <c r="BV29" s="204"/>
      <c r="BW29" s="1524"/>
      <c r="BX29" s="1488"/>
      <c r="BY29" s="202"/>
      <c r="BZ29" s="1507"/>
      <c r="CB29" s="1524"/>
      <c r="CC29" s="1488"/>
      <c r="CD29" s="204"/>
      <c r="CE29" s="1538"/>
      <c r="CF29" s="1488"/>
      <c r="CG29" s="204"/>
      <c r="CH29" s="1524"/>
      <c r="CI29" s="1488"/>
      <c r="CJ29" s="204"/>
      <c r="CK29" s="1524"/>
      <c r="CL29" s="1488"/>
      <c r="CM29" s="202"/>
      <c r="CN29" s="1507"/>
    </row>
    <row r="30" spans="2:92" ht="99.75" x14ac:dyDescent="0.2">
      <c r="B30" s="1586"/>
      <c r="C30" s="1459" t="s">
        <v>60</v>
      </c>
      <c r="D30" s="1436" t="s">
        <v>204</v>
      </c>
      <c r="E30" s="1439" t="s">
        <v>125</v>
      </c>
      <c r="F30" s="1442" t="s">
        <v>330</v>
      </c>
      <c r="G30" s="315" t="str">
        <f>+'Plan de Accion Misional'!K9</f>
        <v>Cobro efectivo de las acreencias por todo concepto a favor de la Administradora de los Recursos del Sistema General de Seguridad Social en Salud – ADRES.</v>
      </c>
      <c r="H30" s="1495"/>
      <c r="J30" s="214">
        <f>+'Plan de Accion Misional'!AJ9</f>
        <v>0.73333330323828039</v>
      </c>
      <c r="K30" s="476">
        <f>+'Plan de Accion Misional'!BS9</f>
        <v>0.73333330323828039</v>
      </c>
      <c r="L30" s="476">
        <f t="shared" si="2"/>
        <v>0.73333330323828039</v>
      </c>
      <c r="M30" s="476">
        <f>+'Plan de Accion Misional'!AL9</f>
        <v>0.1833333258095701</v>
      </c>
      <c r="N30" s="476">
        <f t="shared" si="0"/>
        <v>0.1833333258095701</v>
      </c>
      <c r="O30" s="476">
        <f t="shared" si="1"/>
        <v>0.1833333258095701</v>
      </c>
      <c r="P30" s="213"/>
      <c r="Q30" s="214" t="s">
        <v>204</v>
      </c>
      <c r="R30" s="248" t="s">
        <v>180</v>
      </c>
      <c r="S30" s="212" t="s">
        <v>204</v>
      </c>
      <c r="T30" s="650">
        <f>+'Plan de Accion Misional'!AV9</f>
        <v>0.1833333258095701</v>
      </c>
      <c r="U30" s="650">
        <f t="shared" ref="U30" si="21">IF(T30&gt;100%,100%,T30)</f>
        <v>0.1833333258095701</v>
      </c>
      <c r="V30" s="211">
        <f t="shared" ref="V30" si="22">+U30</f>
        <v>0.1833333258095701</v>
      </c>
      <c r="W30" s="213"/>
      <c r="X30" s="214" t="s">
        <v>204</v>
      </c>
      <c r="Y30" s="248" t="s">
        <v>180</v>
      </c>
      <c r="Z30" s="212" t="s">
        <v>204</v>
      </c>
      <c r="AA30" s="217">
        <f>+'Plan de Accion Misional'!BF9</f>
        <v>0.1833333258095701</v>
      </c>
      <c r="AB30" s="217">
        <f t="shared" ref="AB30" si="23">IF(AA30&gt;100%,100%,AA30)</f>
        <v>0.1833333258095701</v>
      </c>
      <c r="AC30" s="652">
        <f t="shared" ref="AC30" si="24">+AB30</f>
        <v>0.1833333258095701</v>
      </c>
      <c r="AD30" s="213"/>
      <c r="AE30" s="214" t="s">
        <v>204</v>
      </c>
      <c r="AF30" s="248" t="s">
        <v>180</v>
      </c>
      <c r="AG30" s="212" t="s">
        <v>204</v>
      </c>
      <c r="AH30" s="248">
        <f>+'Plan de Accion Misional'!BP9</f>
        <v>0.1833333258095701</v>
      </c>
      <c r="AI30" s="211">
        <f t="shared" ref="AI30" si="25">IF(AH30&gt;100%,100%,AH30)</f>
        <v>0.1833333258095701</v>
      </c>
      <c r="AJ30" s="1482"/>
      <c r="AL30" s="1524"/>
      <c r="AM30" s="1488"/>
      <c r="AN30" s="204"/>
      <c r="AO30" s="1538"/>
      <c r="AP30" s="1488"/>
      <c r="AQ30" s="204"/>
      <c r="AR30" s="1524"/>
      <c r="AS30" s="1488"/>
      <c r="AT30" s="204"/>
      <c r="AU30" s="1524"/>
      <c r="AV30" s="1488"/>
      <c r="AW30" s="202"/>
      <c r="AX30" s="1507"/>
      <c r="AZ30" s="1524"/>
      <c r="BA30" s="1488"/>
      <c r="BB30" s="204"/>
      <c r="BC30" s="1538"/>
      <c r="BD30" s="1488"/>
      <c r="BE30" s="204"/>
      <c r="BF30" s="1524"/>
      <c r="BG30" s="1488"/>
      <c r="BH30" s="204"/>
      <c r="BI30" s="1524"/>
      <c r="BJ30" s="1488"/>
      <c r="BK30" s="202"/>
      <c r="BL30" s="1507"/>
      <c r="BN30" s="1524"/>
      <c r="BO30" s="1488"/>
      <c r="BP30" s="204"/>
      <c r="BQ30" s="1538"/>
      <c r="BR30" s="1488"/>
      <c r="BS30" s="204"/>
      <c r="BT30" s="1524"/>
      <c r="BU30" s="1488"/>
      <c r="BV30" s="204"/>
      <c r="BW30" s="1524"/>
      <c r="BX30" s="1488"/>
      <c r="BY30" s="202"/>
      <c r="BZ30" s="1507"/>
      <c r="CB30" s="1524"/>
      <c r="CC30" s="1488"/>
      <c r="CD30" s="204"/>
      <c r="CE30" s="1538"/>
      <c r="CF30" s="1488"/>
      <c r="CG30" s="204"/>
      <c r="CH30" s="1524"/>
      <c r="CI30" s="1488"/>
      <c r="CJ30" s="204"/>
      <c r="CK30" s="1524"/>
      <c r="CL30" s="1488"/>
      <c r="CM30" s="202"/>
      <c r="CN30" s="1507"/>
    </row>
    <row r="31" spans="2:92" ht="28.5" x14ac:dyDescent="0.2">
      <c r="B31" s="1586"/>
      <c r="C31" s="1471"/>
      <c r="D31" s="1437"/>
      <c r="E31" s="1440"/>
      <c r="F31" s="1443"/>
      <c r="G31" s="550" t="str">
        <f>+'Plan de Accion Misional'!K21</f>
        <v>Reclamaciones de cobro coactivo gestionadas</v>
      </c>
      <c r="H31" s="1495"/>
      <c r="J31" s="214">
        <f>+'Plan de Accion Misional'!AJ21</f>
        <v>0.73333330323828039</v>
      </c>
      <c r="K31" s="544">
        <f>+'Plan de Accion Misional'!BS21</f>
        <v>0.73333330323828039</v>
      </c>
      <c r="L31" s="544">
        <f t="shared" ref="L31" si="26">IF(K31&gt;100%,100%,K31)</f>
        <v>0.73333330323828039</v>
      </c>
      <c r="M31" s="544">
        <f>+'Plan de Accion Misional'!AL21</f>
        <v>0.1833333258095701</v>
      </c>
      <c r="N31" s="544">
        <f t="shared" ref="N31" si="27">IF(M31&gt;100%,100%,M31)</f>
        <v>0.1833333258095701</v>
      </c>
      <c r="O31" s="544">
        <f t="shared" ref="O31" si="28">+N31</f>
        <v>0.1833333258095701</v>
      </c>
      <c r="P31" s="213"/>
      <c r="Q31" s="214">
        <f>+'Plan de Accion Misional'!AT21</f>
        <v>1</v>
      </c>
      <c r="R31" s="248">
        <f>+'Plan de Accion Misional'!BU21</f>
        <v>1</v>
      </c>
      <c r="S31" s="212">
        <f t="shared" ref="S31" si="29">IF(R31&gt;100%,100%,R31)</f>
        <v>1</v>
      </c>
      <c r="T31" s="544">
        <f>+'Plan de Accion Misional'!AV21</f>
        <v>0.43333332580957007</v>
      </c>
      <c r="U31" s="544">
        <f t="shared" ref="U31" si="30">IF(T31&gt;100%,100%,T31)</f>
        <v>0.43333332580957007</v>
      </c>
      <c r="V31" s="211">
        <f t="shared" ref="V31" si="31">+U31</f>
        <v>0.43333332580957007</v>
      </c>
      <c r="W31" s="213"/>
      <c r="X31" s="214">
        <f>+'Plan de Accion Misional'!BD21</f>
        <v>1</v>
      </c>
      <c r="Y31" s="248">
        <f>+'Plan de Accion Misional'!BW21</f>
        <v>1</v>
      </c>
      <c r="Z31" s="212">
        <f t="shared" ref="Z31" si="32">IF(Y31&gt;100%,100%,Y31)</f>
        <v>1</v>
      </c>
      <c r="AA31" s="217">
        <f>+'Plan de Accion Misional'!BF21</f>
        <v>0.68333332580957007</v>
      </c>
      <c r="AB31" s="217">
        <f t="shared" ref="AB31" si="33">IF(AA31&gt;100%,100%,AA31)</f>
        <v>0.68333332580957007</v>
      </c>
      <c r="AC31" s="548">
        <f t="shared" ref="AC31" si="34">+AB31</f>
        <v>0.68333332580957007</v>
      </c>
      <c r="AD31" s="213"/>
      <c r="AE31" s="214">
        <f>+'Plan de Accion Misional'!BN21</f>
        <v>1</v>
      </c>
      <c r="AF31" s="248">
        <f>+'Plan de Accion Misional'!BY21</f>
        <v>1</v>
      </c>
      <c r="AG31" s="212">
        <f t="shared" ref="AG31" si="35">IF(AF31&gt;100%,100%,AF31)</f>
        <v>1</v>
      </c>
      <c r="AH31" s="248">
        <f>+'Plan de Accion Misional'!BP21</f>
        <v>0.93333332580957007</v>
      </c>
      <c r="AI31" s="211">
        <f t="shared" ref="AI31" si="36">IF(AH31&gt;100%,100%,AH31)</f>
        <v>0.93333332580957007</v>
      </c>
      <c r="AJ31" s="1482"/>
      <c r="AL31" s="1524"/>
      <c r="AM31" s="1488"/>
      <c r="AN31" s="204"/>
      <c r="AO31" s="1538"/>
      <c r="AP31" s="1488"/>
      <c r="AQ31" s="204"/>
      <c r="AR31" s="1524"/>
      <c r="AS31" s="1488"/>
      <c r="AT31" s="204"/>
      <c r="AU31" s="1524"/>
      <c r="AV31" s="1488"/>
      <c r="AW31" s="202"/>
      <c r="AX31" s="1507"/>
      <c r="AZ31" s="1524"/>
      <c r="BA31" s="1488"/>
      <c r="BB31" s="204"/>
      <c r="BC31" s="1538"/>
      <c r="BD31" s="1488"/>
      <c r="BE31" s="204"/>
      <c r="BF31" s="1524"/>
      <c r="BG31" s="1488"/>
      <c r="BH31" s="204"/>
      <c r="BI31" s="1524"/>
      <c r="BJ31" s="1488"/>
      <c r="BK31" s="202"/>
      <c r="BL31" s="1507"/>
      <c r="BN31" s="1524"/>
      <c r="BO31" s="1488"/>
      <c r="BP31" s="204"/>
      <c r="BQ31" s="1538"/>
      <c r="BR31" s="1488"/>
      <c r="BS31" s="204"/>
      <c r="BT31" s="1524"/>
      <c r="BU31" s="1488"/>
      <c r="BV31" s="204"/>
      <c r="BW31" s="1524"/>
      <c r="BX31" s="1488"/>
      <c r="BY31" s="202"/>
      <c r="BZ31" s="1507"/>
      <c r="CB31" s="1524"/>
      <c r="CC31" s="1488"/>
      <c r="CD31" s="204"/>
      <c r="CE31" s="1538"/>
      <c r="CF31" s="1488"/>
      <c r="CG31" s="204"/>
      <c r="CH31" s="1524"/>
      <c r="CI31" s="1488"/>
      <c r="CJ31" s="204"/>
      <c r="CK31" s="1524"/>
      <c r="CL31" s="1488"/>
      <c r="CM31" s="202"/>
      <c r="CN31" s="1507"/>
    </row>
    <row r="32" spans="2:92" ht="15" x14ac:dyDescent="0.2">
      <c r="B32" s="1586"/>
      <c r="C32" s="1471"/>
      <c r="D32" s="1437"/>
      <c r="E32" s="1440"/>
      <c r="F32" s="1443"/>
      <c r="G32" s="315" t="str">
        <f>+'Plan de Accion Misional'!K10</f>
        <v>Comunicaciones enviadas</v>
      </c>
      <c r="H32" s="1495"/>
      <c r="J32" s="1490">
        <f>+'Plan de Accion Misional'!AJ10</f>
        <v>0.66666666666666663</v>
      </c>
      <c r="K32" s="1447">
        <f>+'Plan de Accion Misional'!BS10</f>
        <v>0.66666666666666663</v>
      </c>
      <c r="L32" s="1447">
        <f t="shared" si="2"/>
        <v>0.66666666666666663</v>
      </c>
      <c r="M32" s="1447">
        <f>+'Plan de Accion Misional'!AL10</f>
        <v>0.16666666666666666</v>
      </c>
      <c r="N32" s="1447">
        <f t="shared" si="0"/>
        <v>0.16666666666666666</v>
      </c>
      <c r="O32" s="1447">
        <f t="shared" si="1"/>
        <v>0.16666666666666666</v>
      </c>
      <c r="P32" s="213"/>
      <c r="Q32" s="1490">
        <f>+'Plan de Accion Misional'!AT10</f>
        <v>1</v>
      </c>
      <c r="R32" s="1484">
        <f>+'Plan de Accion Misional'!BU10</f>
        <v>1</v>
      </c>
      <c r="S32" s="1484">
        <f t="shared" si="3"/>
        <v>1</v>
      </c>
      <c r="T32" s="1484">
        <f>+'Plan de Accion Misional'!AV10</f>
        <v>0.41666666666666669</v>
      </c>
      <c r="U32" s="1484">
        <f t="shared" si="4"/>
        <v>0.41666666666666669</v>
      </c>
      <c r="V32" s="1486">
        <f t="shared" si="5"/>
        <v>0.41666666666666669</v>
      </c>
      <c r="W32" s="213"/>
      <c r="X32" s="1490">
        <f>+'Plan de Accion Misional'!BD10</f>
        <v>1</v>
      </c>
      <c r="Y32" s="1484">
        <f>+'Plan de Accion Misional'!BW10</f>
        <v>1</v>
      </c>
      <c r="Z32" s="1484">
        <f t="shared" si="6"/>
        <v>1</v>
      </c>
      <c r="AA32" s="1517">
        <f>+'Plan de Accion Misional'!BF10</f>
        <v>0.66666666666666663</v>
      </c>
      <c r="AB32" s="1517">
        <f t="shared" si="7"/>
        <v>0.66666666666666663</v>
      </c>
      <c r="AC32" s="1519">
        <f t="shared" si="8"/>
        <v>0.66666666666666663</v>
      </c>
      <c r="AD32" s="213"/>
      <c r="AE32" s="1490">
        <f>+'Plan de Accion Misional'!BN10</f>
        <v>1</v>
      </c>
      <c r="AF32" s="1484">
        <f>+'Plan de Accion Misional'!BY10</f>
        <v>1</v>
      </c>
      <c r="AG32" s="1484">
        <f t="shared" si="9"/>
        <v>1</v>
      </c>
      <c r="AH32" s="1484">
        <f>+'Plan de Accion Misional'!BP10</f>
        <v>0.91666666666666663</v>
      </c>
      <c r="AI32" s="1486">
        <f t="shared" si="10"/>
        <v>0.91666666666666663</v>
      </c>
      <c r="AJ32" s="1482"/>
      <c r="AL32" s="1524"/>
      <c r="AM32" s="1488"/>
      <c r="AN32" s="204"/>
      <c r="AO32" s="1538"/>
      <c r="AP32" s="1488"/>
      <c r="AQ32" s="204"/>
      <c r="AR32" s="1524"/>
      <c r="AS32" s="1488"/>
      <c r="AT32" s="204"/>
      <c r="AU32" s="1524"/>
      <c r="AV32" s="1488"/>
      <c r="AW32" s="202"/>
      <c r="AX32" s="1507"/>
      <c r="AZ32" s="1524"/>
      <c r="BA32" s="1488"/>
      <c r="BB32" s="204"/>
      <c r="BC32" s="1538"/>
      <c r="BD32" s="1488"/>
      <c r="BE32" s="204"/>
      <c r="BF32" s="1524"/>
      <c r="BG32" s="1488"/>
      <c r="BH32" s="204"/>
      <c r="BI32" s="1524"/>
      <c r="BJ32" s="1488"/>
      <c r="BK32" s="202"/>
      <c r="BL32" s="1507"/>
      <c r="BN32" s="1524"/>
      <c r="BO32" s="1488"/>
      <c r="BP32" s="204"/>
      <c r="BQ32" s="1538"/>
      <c r="BR32" s="1488"/>
      <c r="BS32" s="204"/>
      <c r="BT32" s="1524"/>
      <c r="BU32" s="1488"/>
      <c r="BV32" s="204"/>
      <c r="BW32" s="1524"/>
      <c r="BX32" s="1488"/>
      <c r="BY32" s="202"/>
      <c r="BZ32" s="1507"/>
      <c r="CB32" s="1524"/>
      <c r="CC32" s="1488"/>
      <c r="CD32" s="204"/>
      <c r="CE32" s="1538"/>
      <c r="CF32" s="1488"/>
      <c r="CG32" s="204"/>
      <c r="CH32" s="1524"/>
      <c r="CI32" s="1488"/>
      <c r="CJ32" s="204"/>
      <c r="CK32" s="1524"/>
      <c r="CL32" s="1488"/>
      <c r="CM32" s="202"/>
      <c r="CN32" s="1507"/>
    </row>
    <row r="33" spans="2:92" ht="42.75" customHeight="1" x14ac:dyDescent="0.2">
      <c r="B33" s="1586"/>
      <c r="C33" s="1471"/>
      <c r="D33" s="1437"/>
      <c r="E33" s="1440"/>
      <c r="F33" s="1443"/>
      <c r="G33" s="315" t="str">
        <f>+'Plan de Accion Misional'!K11</f>
        <v>Pagos registrados en el SII PRE Procesos de repetición</v>
      </c>
      <c r="H33" s="1495"/>
      <c r="J33" s="1491"/>
      <c r="K33" s="1448"/>
      <c r="L33" s="1448"/>
      <c r="M33" s="1448"/>
      <c r="N33" s="1448"/>
      <c r="O33" s="1448"/>
      <c r="P33" s="213"/>
      <c r="Q33" s="1491"/>
      <c r="R33" s="1513"/>
      <c r="S33" s="1513"/>
      <c r="T33" s="1513"/>
      <c r="U33" s="1513"/>
      <c r="V33" s="1512"/>
      <c r="W33" s="213"/>
      <c r="X33" s="1491"/>
      <c r="Y33" s="1513"/>
      <c r="Z33" s="1513"/>
      <c r="AA33" s="1522"/>
      <c r="AB33" s="1522"/>
      <c r="AC33" s="1521"/>
      <c r="AD33" s="213"/>
      <c r="AE33" s="1491"/>
      <c r="AF33" s="1513"/>
      <c r="AG33" s="1513"/>
      <c r="AH33" s="1513"/>
      <c r="AI33" s="1512"/>
      <c r="AJ33" s="1482"/>
      <c r="AL33" s="1524"/>
      <c r="AM33" s="1488"/>
      <c r="AN33" s="204"/>
      <c r="AO33" s="1538"/>
      <c r="AP33" s="1488"/>
      <c r="AQ33" s="204"/>
      <c r="AR33" s="1524"/>
      <c r="AS33" s="1488"/>
      <c r="AT33" s="204"/>
      <c r="AU33" s="1524"/>
      <c r="AV33" s="1488"/>
      <c r="AW33" s="202"/>
      <c r="AX33" s="1507"/>
      <c r="AZ33" s="1524"/>
      <c r="BA33" s="1488"/>
      <c r="BB33" s="204"/>
      <c r="BC33" s="1538"/>
      <c r="BD33" s="1488"/>
      <c r="BE33" s="204"/>
      <c r="BF33" s="1524"/>
      <c r="BG33" s="1488"/>
      <c r="BH33" s="204"/>
      <c r="BI33" s="1524"/>
      <c r="BJ33" s="1488"/>
      <c r="BK33" s="202"/>
      <c r="BL33" s="1507"/>
      <c r="BN33" s="1524"/>
      <c r="BO33" s="1488"/>
      <c r="BP33" s="204"/>
      <c r="BQ33" s="1538"/>
      <c r="BR33" s="1488"/>
      <c r="BS33" s="204"/>
      <c r="BT33" s="1524"/>
      <c r="BU33" s="1488"/>
      <c r="BV33" s="204"/>
      <c r="BW33" s="1524"/>
      <c r="BX33" s="1488"/>
      <c r="BY33" s="202"/>
      <c r="BZ33" s="1507"/>
      <c r="CB33" s="1524"/>
      <c r="CC33" s="1488"/>
      <c r="CD33" s="204"/>
      <c r="CE33" s="1538"/>
      <c r="CF33" s="1488"/>
      <c r="CG33" s="204"/>
      <c r="CH33" s="1524"/>
      <c r="CI33" s="1488"/>
      <c r="CJ33" s="204"/>
      <c r="CK33" s="1524"/>
      <c r="CL33" s="1488"/>
      <c r="CM33" s="202"/>
      <c r="CN33" s="1507"/>
    </row>
    <row r="34" spans="2:92" ht="15" x14ac:dyDescent="0.2">
      <c r="B34" s="1586"/>
      <c r="C34" s="1471"/>
      <c r="D34" s="1437"/>
      <c r="E34" s="1440"/>
      <c r="F34" s="1443"/>
      <c r="G34" s="315" t="str">
        <f>+'Plan de Accion Misional'!K12</f>
        <v>Reclamaciones depurables</v>
      </c>
      <c r="H34" s="1495"/>
      <c r="J34" s="1492"/>
      <c r="K34" s="1449"/>
      <c r="L34" s="1449"/>
      <c r="M34" s="1449"/>
      <c r="N34" s="1449"/>
      <c r="O34" s="1449"/>
      <c r="P34" s="213"/>
      <c r="Q34" s="1492"/>
      <c r="R34" s="1485"/>
      <c r="S34" s="1485"/>
      <c r="T34" s="1485"/>
      <c r="U34" s="1485"/>
      <c r="V34" s="1487"/>
      <c r="W34" s="213"/>
      <c r="X34" s="1492"/>
      <c r="Y34" s="1485"/>
      <c r="Z34" s="1485"/>
      <c r="AA34" s="1518"/>
      <c r="AB34" s="1518"/>
      <c r="AC34" s="1520"/>
      <c r="AD34" s="213"/>
      <c r="AE34" s="1492"/>
      <c r="AF34" s="1485"/>
      <c r="AG34" s="1485"/>
      <c r="AH34" s="1485"/>
      <c r="AI34" s="1487"/>
      <c r="AJ34" s="1482"/>
      <c r="AL34" s="1524"/>
      <c r="AM34" s="1488"/>
      <c r="AN34" s="204"/>
      <c r="AO34" s="1538"/>
      <c r="AP34" s="1488"/>
      <c r="AQ34" s="204"/>
      <c r="AR34" s="1524"/>
      <c r="AS34" s="1488"/>
      <c r="AT34" s="204"/>
      <c r="AU34" s="1524"/>
      <c r="AV34" s="1488"/>
      <c r="AW34" s="202"/>
      <c r="AX34" s="1507"/>
      <c r="AZ34" s="1524"/>
      <c r="BA34" s="1488"/>
      <c r="BB34" s="204"/>
      <c r="BC34" s="1538"/>
      <c r="BD34" s="1488"/>
      <c r="BE34" s="204"/>
      <c r="BF34" s="1524"/>
      <c r="BG34" s="1488"/>
      <c r="BH34" s="204"/>
      <c r="BI34" s="1524"/>
      <c r="BJ34" s="1488"/>
      <c r="BK34" s="202"/>
      <c r="BL34" s="1507"/>
      <c r="BN34" s="1524"/>
      <c r="BO34" s="1488"/>
      <c r="BP34" s="204"/>
      <c r="BQ34" s="1538"/>
      <c r="BR34" s="1488"/>
      <c r="BS34" s="204"/>
      <c r="BT34" s="1524"/>
      <c r="BU34" s="1488"/>
      <c r="BV34" s="204"/>
      <c r="BW34" s="1524"/>
      <c r="BX34" s="1488"/>
      <c r="BY34" s="202"/>
      <c r="BZ34" s="1507"/>
      <c r="CB34" s="1524"/>
      <c r="CC34" s="1488"/>
      <c r="CD34" s="204"/>
      <c r="CE34" s="1538"/>
      <c r="CF34" s="1488"/>
      <c r="CG34" s="204"/>
      <c r="CH34" s="1524"/>
      <c r="CI34" s="1488"/>
      <c r="CJ34" s="204"/>
      <c r="CK34" s="1524"/>
      <c r="CL34" s="1488"/>
      <c r="CM34" s="202"/>
      <c r="CN34" s="1507"/>
    </row>
    <row r="35" spans="2:92" ht="71.25" customHeight="1" x14ac:dyDescent="0.2">
      <c r="B35" s="1586"/>
      <c r="C35" s="1471"/>
      <c r="D35" s="1437"/>
      <c r="E35" s="1440"/>
      <c r="F35" s="1443"/>
      <c r="G35" s="315" t="str">
        <f>+'Plan de Accion Misional'!K13</f>
        <v>Bases de información actualizadas</v>
      </c>
      <c r="H35" s="1496"/>
      <c r="J35" s="214">
        <f>+'Plan de Accion Misional'!AJ13</f>
        <v>0.80972221564651647</v>
      </c>
      <c r="K35" s="476">
        <f>+'Plan de Accion Misional'!BS13</f>
        <v>0.80972221564651647</v>
      </c>
      <c r="L35" s="476">
        <f>IF(K35&gt;100%,100%,K35)</f>
        <v>0.80972221564651647</v>
      </c>
      <c r="M35" s="476">
        <f>+'Plan de Accion Misional'!AL13</f>
        <v>0.14722222102663934</v>
      </c>
      <c r="N35" s="476">
        <f>IF(M35&gt;100%,100%,M35)</f>
        <v>0.14722222102663934</v>
      </c>
      <c r="O35" s="476">
        <f>+N35</f>
        <v>0.14722222102663934</v>
      </c>
      <c r="P35" s="213"/>
      <c r="Q35" s="214">
        <f>+'Plan de Accion Misional'!AT13</f>
        <v>0.91666666666666674</v>
      </c>
      <c r="R35" s="248">
        <f>+'Plan de Accion Misional'!BU13</f>
        <v>0.91666666666666674</v>
      </c>
      <c r="S35" s="212">
        <f>IF(R35&gt;100%,100%,R35)</f>
        <v>0.91666666666666674</v>
      </c>
      <c r="T35" s="304">
        <f>+'Plan de Accion Misional'!AV13</f>
        <v>0.39722222102663934</v>
      </c>
      <c r="U35" s="304">
        <f t="shared" ref="U35:U40" si="37">IF(T35&gt;100%,100%,T35)</f>
        <v>0.39722222102663934</v>
      </c>
      <c r="V35" s="211">
        <f>+U35</f>
        <v>0.39722222102663934</v>
      </c>
      <c r="W35" s="213"/>
      <c r="X35" s="214">
        <f>+'Plan de Accion Misional'!BD13</f>
        <v>0.91666666666666674</v>
      </c>
      <c r="Y35" s="248">
        <f>+'Plan de Accion Misional'!BW13</f>
        <v>0.91666666666666674</v>
      </c>
      <c r="Z35" s="212">
        <f>IF(Y35&gt;100%,100%,Y35)</f>
        <v>0.91666666666666674</v>
      </c>
      <c r="AA35" s="217">
        <f>+'Plan de Accion Misional'!BF13</f>
        <v>0.6472222210266394</v>
      </c>
      <c r="AB35" s="217">
        <f t="shared" ref="AB35:AB40" si="38">IF(AA35&gt;100%,100%,AA35)</f>
        <v>0.6472222210266394</v>
      </c>
      <c r="AC35" s="302">
        <f>+AB35</f>
        <v>0.6472222210266394</v>
      </c>
      <c r="AD35" s="213"/>
      <c r="AE35" s="214">
        <f>+'Plan de Accion Misional'!BN13</f>
        <v>0.91666666666666674</v>
      </c>
      <c r="AF35" s="248">
        <f>+'Plan de Accion Misional'!BY13</f>
        <v>0.91666666666666674</v>
      </c>
      <c r="AG35" s="212">
        <f>IF(AF35&gt;100%,100%,AF35)</f>
        <v>0.91666666666666674</v>
      </c>
      <c r="AH35" s="248">
        <f>+'Plan de Accion Misional'!BP13</f>
        <v>0.8972222210266394</v>
      </c>
      <c r="AI35" s="211">
        <f t="shared" ref="AI35:AI40" si="39">IF(AH35&gt;100%,100%,AH35)</f>
        <v>0.8972222210266394</v>
      </c>
      <c r="AJ35" s="1482"/>
      <c r="AL35" s="1524"/>
      <c r="AM35" s="1488"/>
      <c r="AN35" s="204"/>
      <c r="AO35" s="1538"/>
      <c r="AP35" s="1488"/>
      <c r="AQ35" s="204"/>
      <c r="AR35" s="1524"/>
      <c r="AS35" s="1488"/>
      <c r="AT35" s="204"/>
      <c r="AU35" s="1524"/>
      <c r="AV35" s="1488"/>
      <c r="AW35" s="202"/>
      <c r="AX35" s="1507"/>
      <c r="AZ35" s="1524"/>
      <c r="BA35" s="1488"/>
      <c r="BB35" s="204"/>
      <c r="BC35" s="1538"/>
      <c r="BD35" s="1488"/>
      <c r="BE35" s="204"/>
      <c r="BF35" s="1524"/>
      <c r="BG35" s="1488"/>
      <c r="BH35" s="204"/>
      <c r="BI35" s="1524"/>
      <c r="BJ35" s="1488"/>
      <c r="BK35" s="202"/>
      <c r="BL35" s="1507"/>
      <c r="BN35" s="1524"/>
      <c r="BO35" s="1488"/>
      <c r="BP35" s="204"/>
      <c r="BQ35" s="1538"/>
      <c r="BR35" s="1488"/>
      <c r="BS35" s="204"/>
      <c r="BT35" s="1524"/>
      <c r="BU35" s="1488"/>
      <c r="BV35" s="204"/>
      <c r="BW35" s="1524"/>
      <c r="BX35" s="1488"/>
      <c r="BY35" s="202"/>
      <c r="BZ35" s="1507"/>
      <c r="CB35" s="1524"/>
      <c r="CC35" s="1488"/>
      <c r="CD35" s="204"/>
      <c r="CE35" s="1538"/>
      <c r="CF35" s="1488"/>
      <c r="CG35" s="204"/>
      <c r="CH35" s="1524"/>
      <c r="CI35" s="1488"/>
      <c r="CJ35" s="204"/>
      <c r="CK35" s="1524"/>
      <c r="CL35" s="1488"/>
      <c r="CM35" s="202"/>
      <c r="CN35" s="1507"/>
    </row>
    <row r="36" spans="2:92" ht="114" customHeight="1" x14ac:dyDescent="0.2">
      <c r="B36" s="1586"/>
      <c r="C36" s="1460"/>
      <c r="D36" s="1438"/>
      <c r="E36" s="1441"/>
      <c r="F36" s="1444"/>
      <c r="G36" s="315" t="str">
        <f>+'Plan de Accion Misional'!K14</f>
        <v>Pago de la cartera vendida a CISA S.A de resoluciones ejecutoriadas con mas de 180 días</v>
      </c>
      <c r="H36" s="339" t="str">
        <f>+'Plan de Accion Misional'!X15</f>
        <v xml:space="preserve">Monto pagado por CISA S.A / Monto ofrecido por CISA S.A. </v>
      </c>
      <c r="J36" s="214">
        <f>+'Plan de Accion Misional'!AQ15</f>
        <v>0</v>
      </c>
      <c r="K36" s="476" t="str">
        <f>+'Plan de Accion Misional'!BS15</f>
        <v>No Prog ni Ejec</v>
      </c>
      <c r="L36" s="476" t="s">
        <v>204</v>
      </c>
      <c r="M36" s="476" t="e">
        <f>+'Plan de Accion Misional'!AL15</f>
        <v>#DIV/0!</v>
      </c>
      <c r="N36" s="476" t="e">
        <f t="shared" ref="N36:N43" si="40">IF(M36&gt;100%,100%,M36)</f>
        <v>#DIV/0!</v>
      </c>
      <c r="O36" s="476" t="s">
        <v>204</v>
      </c>
      <c r="P36" s="213"/>
      <c r="Q36" s="214">
        <f>+'Plan de Accion Misional'!AQ15</f>
        <v>0</v>
      </c>
      <c r="R36" s="248" t="str">
        <f>+'Plan de Accion Misional'!BT15</f>
        <v>No Prog ni Ejec</v>
      </c>
      <c r="S36" s="212" t="s">
        <v>204</v>
      </c>
      <c r="T36" s="304" t="e">
        <f>+'Plan de Accion Misional'!AV15</f>
        <v>#DIV/0!</v>
      </c>
      <c r="U36" s="304" t="e">
        <f t="shared" si="37"/>
        <v>#DIV/0!</v>
      </c>
      <c r="V36" s="211" t="s">
        <v>204</v>
      </c>
      <c r="W36" s="213"/>
      <c r="X36" s="214">
        <f>+'Plan de Accion Misional'!BA15</f>
        <v>0</v>
      </c>
      <c r="Y36" s="248" t="str">
        <f>+'Plan de Accion Misional'!BV15</f>
        <v>No Prog ni Ejec</v>
      </c>
      <c r="Z36" s="212" t="s">
        <v>204</v>
      </c>
      <c r="AA36" s="965" t="e">
        <f>+'Plan de Accion Misional'!BF15</f>
        <v>#DIV/0!</v>
      </c>
      <c r="AB36" s="965" t="e">
        <f t="shared" si="38"/>
        <v>#DIV/0!</v>
      </c>
      <c r="AC36" s="216" t="s">
        <v>204</v>
      </c>
      <c r="AD36" s="213"/>
      <c r="AE36" s="214">
        <f>+'Plan de Accion Misional'!BK15</f>
        <v>0</v>
      </c>
      <c r="AF36" s="248">
        <f>+'Plan de Accion Misional'!BX15</f>
        <v>0</v>
      </c>
      <c r="AG36" s="212">
        <f t="shared" si="9"/>
        <v>0</v>
      </c>
      <c r="AH36" s="248">
        <f>+'Plan de Accion Misional'!BO15</f>
        <v>0</v>
      </c>
      <c r="AI36" s="211">
        <f t="shared" si="39"/>
        <v>0</v>
      </c>
      <c r="AJ36" s="1482"/>
      <c r="AL36" s="1524"/>
      <c r="AM36" s="1488"/>
      <c r="AN36" s="204"/>
      <c r="AO36" s="1538"/>
      <c r="AP36" s="1488"/>
      <c r="AQ36" s="204"/>
      <c r="AR36" s="1524"/>
      <c r="AS36" s="1488"/>
      <c r="AT36" s="204"/>
      <c r="AU36" s="1524"/>
      <c r="AV36" s="1488"/>
      <c r="AW36" s="202"/>
      <c r="AX36" s="1507"/>
      <c r="AZ36" s="1524"/>
      <c r="BA36" s="1488"/>
      <c r="BB36" s="204"/>
      <c r="BC36" s="1538"/>
      <c r="BD36" s="1488"/>
      <c r="BE36" s="204"/>
      <c r="BF36" s="1524"/>
      <c r="BG36" s="1488"/>
      <c r="BH36" s="204"/>
      <c r="BI36" s="1524"/>
      <c r="BJ36" s="1488"/>
      <c r="BK36" s="202"/>
      <c r="BL36" s="1507"/>
      <c r="BN36" s="1524"/>
      <c r="BO36" s="1488"/>
      <c r="BP36" s="204"/>
      <c r="BQ36" s="1538"/>
      <c r="BR36" s="1488"/>
      <c r="BS36" s="204"/>
      <c r="BT36" s="1524"/>
      <c r="BU36" s="1488"/>
      <c r="BV36" s="204"/>
      <c r="BW36" s="1524"/>
      <c r="BX36" s="1488"/>
      <c r="BY36" s="202"/>
      <c r="BZ36" s="1507"/>
      <c r="CB36" s="1524"/>
      <c r="CC36" s="1488"/>
      <c r="CD36" s="204"/>
      <c r="CE36" s="1538"/>
      <c r="CF36" s="1488"/>
      <c r="CG36" s="204"/>
      <c r="CH36" s="1524"/>
      <c r="CI36" s="1488"/>
      <c r="CJ36" s="204"/>
      <c r="CK36" s="1524"/>
      <c r="CL36" s="1488"/>
      <c r="CM36" s="202"/>
      <c r="CN36" s="1507"/>
    </row>
    <row r="37" spans="2:92" ht="30" customHeight="1" x14ac:dyDescent="0.2">
      <c r="B37" s="1586"/>
      <c r="C37" s="1479" t="s">
        <v>59</v>
      </c>
      <c r="D37" s="1436" t="s">
        <v>204</v>
      </c>
      <c r="E37" s="1442" t="s">
        <v>1219</v>
      </c>
      <c r="F37" s="1442" t="s">
        <v>330</v>
      </c>
      <c r="G37" s="322" t="str">
        <f>+'Plan de Accion Misional'!K17</f>
        <v>Gestión de Recaudo</v>
      </c>
      <c r="H37" s="1546" t="s">
        <v>219</v>
      </c>
      <c r="J37" s="214">
        <f>+'Plan de Accion Misional'!AQ17</f>
        <v>0.24994903419805312</v>
      </c>
      <c r="K37" s="476">
        <f>+'Plan de Accion Misional'!BS17</f>
        <v>0.82222222346123908</v>
      </c>
      <c r="L37" s="476">
        <f>IF(K37&gt;100%,100%,K37)</f>
        <v>0.82222222346123908</v>
      </c>
      <c r="M37" s="476">
        <f>+'Plan de Accion Misional'!AL17</f>
        <v>0.20555555586530977</v>
      </c>
      <c r="N37" s="476">
        <f>IF(M37&gt;100%,100%,M37)</f>
        <v>0.20555555586530977</v>
      </c>
      <c r="O37" s="476">
        <f>+N37</f>
        <v>0.20555555586530977</v>
      </c>
      <c r="P37" s="213"/>
      <c r="Q37" s="214">
        <f>+'Plan de Accion Misional'!AQ17</f>
        <v>0.24994903419805312</v>
      </c>
      <c r="R37" s="248">
        <f>+'Plan de Accion Misional'!BT17</f>
        <v>0.99979613679221246</v>
      </c>
      <c r="S37" s="212">
        <f>IF(R37&gt;100%,100%,R37)</f>
        <v>0.99979613679221246</v>
      </c>
      <c r="T37" s="325">
        <f>+'Plan de Accion Misional'!AV17</f>
        <v>0.45555555586530977</v>
      </c>
      <c r="U37" s="325">
        <f t="shared" si="37"/>
        <v>0.45555555586530977</v>
      </c>
      <c r="V37" s="211">
        <f>+U37</f>
        <v>0.45555555586530977</v>
      </c>
      <c r="W37" s="213"/>
      <c r="X37" s="214">
        <f>+'Plan de Accion Misional'!BA17</f>
        <v>0.24994659894621921</v>
      </c>
      <c r="Y37" s="248">
        <f>+'Plan de Accion Misional'!BV17</f>
        <v>0.99978639578487682</v>
      </c>
      <c r="Z37" s="212">
        <f t="shared" ref="Z37:Z42" si="41">IF(Y37&gt;100%,100%,Y37)</f>
        <v>0.99978639578487682</v>
      </c>
      <c r="AA37" s="217">
        <f>+'Plan de Accion Misional'!BF17</f>
        <v>0.70555555586530982</v>
      </c>
      <c r="AB37" s="217">
        <f t="shared" si="38"/>
        <v>0.70555555586530982</v>
      </c>
      <c r="AC37" s="332">
        <f t="shared" ref="AC37:AC42" si="42">+AB37</f>
        <v>0.70555555586530982</v>
      </c>
      <c r="AD37" s="213"/>
      <c r="AE37" s="214">
        <f>+'Plan de Accion Misional'!BK17</f>
        <v>0.24996970178986677</v>
      </c>
      <c r="AF37" s="248">
        <f>+'Plan de Accion Misional'!BX17</f>
        <v>0.99987880715946709</v>
      </c>
      <c r="AG37" s="212">
        <f t="shared" ref="AG37:AG42" si="43">IF(AF37&gt;100%,100%,AF37)</f>
        <v>0.99987880715946709</v>
      </c>
      <c r="AH37" s="248">
        <f>+'Plan de Accion Misional'!BO17</f>
        <v>0.99970910616087461</v>
      </c>
      <c r="AI37" s="211">
        <f t="shared" si="39"/>
        <v>0.99970910616087461</v>
      </c>
      <c r="AJ37" s="1482"/>
      <c r="AL37" s="1524"/>
      <c r="AM37" s="1488"/>
      <c r="AN37" s="204"/>
      <c r="AO37" s="1538"/>
      <c r="AP37" s="1488"/>
      <c r="AQ37" s="204"/>
      <c r="AR37" s="1524"/>
      <c r="AS37" s="1488"/>
      <c r="AT37" s="204"/>
      <c r="AU37" s="1524"/>
      <c r="AV37" s="1488"/>
      <c r="AW37" s="202"/>
      <c r="AX37" s="1507"/>
      <c r="AZ37" s="1524"/>
      <c r="BA37" s="1488"/>
      <c r="BB37" s="204"/>
      <c r="BC37" s="1538"/>
      <c r="BD37" s="1488"/>
      <c r="BE37" s="204"/>
      <c r="BF37" s="1524"/>
      <c r="BG37" s="1488"/>
      <c r="BH37" s="204"/>
      <c r="BI37" s="1524"/>
      <c r="BJ37" s="1488"/>
      <c r="BK37" s="202"/>
      <c r="BL37" s="1507"/>
      <c r="BN37" s="1524"/>
      <c r="BO37" s="1488"/>
      <c r="BP37" s="204"/>
      <c r="BQ37" s="1538"/>
      <c r="BR37" s="1488"/>
      <c r="BS37" s="204"/>
      <c r="BT37" s="1524"/>
      <c r="BU37" s="1488"/>
      <c r="BV37" s="204"/>
      <c r="BW37" s="1524"/>
      <c r="BX37" s="1488"/>
      <c r="BY37" s="202"/>
      <c r="BZ37" s="1507"/>
      <c r="CB37" s="1524"/>
      <c r="CC37" s="1488"/>
      <c r="CD37" s="204"/>
      <c r="CE37" s="1538"/>
      <c r="CF37" s="1488"/>
      <c r="CG37" s="204"/>
      <c r="CH37" s="1524"/>
      <c r="CI37" s="1488"/>
      <c r="CJ37" s="204"/>
      <c r="CK37" s="1524"/>
      <c r="CL37" s="1488"/>
      <c r="CM37" s="202"/>
      <c r="CN37" s="1507"/>
    </row>
    <row r="38" spans="2:92" ht="30" customHeight="1" x14ac:dyDescent="0.2">
      <c r="B38" s="1586"/>
      <c r="C38" s="1480"/>
      <c r="D38" s="1437"/>
      <c r="E38" s="1443"/>
      <c r="F38" s="1443"/>
      <c r="G38" s="322" t="str">
        <f>+'Plan de Accion Misional'!K18</f>
        <v>Ordenes de Giros tramitadas</v>
      </c>
      <c r="H38" s="1547"/>
      <c r="J38" s="214">
        <f>+'Plan de Accion Misional'!AQ18</f>
        <v>0.25</v>
      </c>
      <c r="K38" s="531">
        <f>+'Plan de Accion Misional'!BS18</f>
        <v>0.78157856742140563</v>
      </c>
      <c r="L38" s="531">
        <f>IF(K38&gt;100%,100%,K38)</f>
        <v>0.78157856742140563</v>
      </c>
      <c r="M38" s="531">
        <f>+'Plan de Accion Misional'!AL18</f>
        <v>0.19539464185535141</v>
      </c>
      <c r="N38" s="531">
        <f>IF(M38&gt;100%,100%,M38)</f>
        <v>0.19539464185535141</v>
      </c>
      <c r="O38" s="531">
        <f>+N38</f>
        <v>0.19539464185535141</v>
      </c>
      <c r="P38" s="213"/>
      <c r="Q38" s="214">
        <f>+'Plan de Accion Misional'!AQ18</f>
        <v>0.25</v>
      </c>
      <c r="R38" s="248">
        <f>+'Plan de Accion Misional'!BT18</f>
        <v>1</v>
      </c>
      <c r="S38" s="212">
        <f>IF(R38&gt;100%,100%,R38)</f>
        <v>1</v>
      </c>
      <c r="T38" s="325">
        <f>+'Plan de Accion Misional'!AV18</f>
        <v>0.44539464185535138</v>
      </c>
      <c r="U38" s="325">
        <f t="shared" si="37"/>
        <v>0.44539464185535138</v>
      </c>
      <c r="V38" s="211">
        <f>+U38</f>
        <v>0.44539464185535138</v>
      </c>
      <c r="W38" s="213"/>
      <c r="X38" s="214">
        <f>+'Plan de Accion Misional'!BA18</f>
        <v>0.25</v>
      </c>
      <c r="Y38" s="248">
        <f>+'Plan de Accion Misional'!BV18</f>
        <v>1</v>
      </c>
      <c r="Z38" s="212">
        <f t="shared" si="41"/>
        <v>1</v>
      </c>
      <c r="AA38" s="217">
        <f>+'Plan de Accion Misional'!BF18</f>
        <v>0.69539464185535138</v>
      </c>
      <c r="AB38" s="217">
        <f t="shared" si="38"/>
        <v>0.69539464185535138</v>
      </c>
      <c r="AC38" s="332">
        <f t="shared" si="42"/>
        <v>0.69539464185535138</v>
      </c>
      <c r="AD38" s="213"/>
      <c r="AE38" s="214">
        <f>+'Plan de Accion Misional'!BK18</f>
        <v>0.25</v>
      </c>
      <c r="AF38" s="248">
        <f>+'Plan de Accion Misional'!BX18</f>
        <v>1</v>
      </c>
      <c r="AG38" s="212">
        <f t="shared" si="43"/>
        <v>1</v>
      </c>
      <c r="AH38" s="248">
        <f>+'Plan de Accion Misional'!BO18</f>
        <v>1</v>
      </c>
      <c r="AI38" s="211">
        <f t="shared" si="39"/>
        <v>1</v>
      </c>
      <c r="AJ38" s="1482"/>
      <c r="AL38" s="1524"/>
      <c r="AM38" s="1488"/>
      <c r="AN38" s="204"/>
      <c r="AO38" s="1538"/>
      <c r="AP38" s="1488"/>
      <c r="AQ38" s="204"/>
      <c r="AR38" s="1524"/>
      <c r="AS38" s="1488"/>
      <c r="AT38" s="204"/>
      <c r="AU38" s="1524"/>
      <c r="AV38" s="1488"/>
      <c r="AW38" s="202"/>
      <c r="AX38" s="1507"/>
      <c r="AZ38" s="1524"/>
      <c r="BA38" s="1488"/>
      <c r="BB38" s="204"/>
      <c r="BC38" s="1538"/>
      <c r="BD38" s="1488"/>
      <c r="BE38" s="204"/>
      <c r="BF38" s="1524"/>
      <c r="BG38" s="1488"/>
      <c r="BH38" s="204"/>
      <c r="BI38" s="1524"/>
      <c r="BJ38" s="1488"/>
      <c r="BK38" s="202"/>
      <c r="BL38" s="1507"/>
      <c r="BN38" s="1524"/>
      <c r="BO38" s="1488"/>
      <c r="BP38" s="204"/>
      <c r="BQ38" s="1538"/>
      <c r="BR38" s="1488"/>
      <c r="BS38" s="204"/>
      <c r="BT38" s="1524"/>
      <c r="BU38" s="1488"/>
      <c r="BV38" s="204"/>
      <c r="BW38" s="1524"/>
      <c r="BX38" s="1488"/>
      <c r="BY38" s="202"/>
      <c r="BZ38" s="1507"/>
      <c r="CB38" s="1524"/>
      <c r="CC38" s="1488"/>
      <c r="CD38" s="204"/>
      <c r="CE38" s="1538"/>
      <c r="CF38" s="1488"/>
      <c r="CG38" s="204"/>
      <c r="CH38" s="1524"/>
      <c r="CI38" s="1488"/>
      <c r="CJ38" s="204"/>
      <c r="CK38" s="1524"/>
      <c r="CL38" s="1488"/>
      <c r="CM38" s="202"/>
      <c r="CN38" s="1507"/>
    </row>
    <row r="39" spans="2:92" ht="30" customHeight="1" x14ac:dyDescent="0.2">
      <c r="B39" s="1586"/>
      <c r="C39" s="1480"/>
      <c r="D39" s="1437"/>
      <c r="E39" s="1443"/>
      <c r="F39" s="1443"/>
      <c r="G39" s="322" t="str">
        <f>+'Plan de Accion Misional'!K19</f>
        <v>Informes de Portafolio</v>
      </c>
      <c r="H39" s="1547"/>
      <c r="J39" s="214">
        <f>+'Plan de Accion Misional'!AQ19</f>
        <v>0.25</v>
      </c>
      <c r="K39" s="531">
        <f>+'Plan de Accion Misional'!BS19</f>
        <v>0.82222222222222219</v>
      </c>
      <c r="L39" s="531">
        <f>IF(K39&gt;100%,100%,K39)</f>
        <v>0.82222222222222219</v>
      </c>
      <c r="M39" s="531">
        <f>+'Plan de Accion Misional'!AL19</f>
        <v>0.20555555555555555</v>
      </c>
      <c r="N39" s="531">
        <f>IF(M39&gt;100%,100%,M39)</f>
        <v>0.20555555555555555</v>
      </c>
      <c r="O39" s="531">
        <f>+N39</f>
        <v>0.20555555555555555</v>
      </c>
      <c r="P39" s="213"/>
      <c r="Q39" s="214">
        <f>+'Plan de Accion Misional'!AQ19</f>
        <v>0.25</v>
      </c>
      <c r="R39" s="248">
        <f>+'Plan de Accion Misional'!BT19</f>
        <v>1</v>
      </c>
      <c r="S39" s="212">
        <f>IF(R39&gt;100%,100%,R39)</f>
        <v>1</v>
      </c>
      <c r="T39" s="325">
        <f>+'Plan de Accion Misional'!AV19</f>
        <v>0.45555555555555555</v>
      </c>
      <c r="U39" s="325">
        <f t="shared" si="37"/>
        <v>0.45555555555555555</v>
      </c>
      <c r="V39" s="211">
        <f>+U39</f>
        <v>0.45555555555555555</v>
      </c>
      <c r="W39" s="213"/>
      <c r="X39" s="214">
        <f>+'Plan de Accion Misional'!BA19</f>
        <v>0.25</v>
      </c>
      <c r="Y39" s="248">
        <f>+'Plan de Accion Misional'!BV19</f>
        <v>1</v>
      </c>
      <c r="Z39" s="212">
        <f t="shared" si="41"/>
        <v>1</v>
      </c>
      <c r="AA39" s="217">
        <f>+'Plan de Accion Misional'!BF19</f>
        <v>0.7055555555555556</v>
      </c>
      <c r="AB39" s="217">
        <f t="shared" si="38"/>
        <v>0.7055555555555556</v>
      </c>
      <c r="AC39" s="332">
        <f t="shared" si="42"/>
        <v>0.7055555555555556</v>
      </c>
      <c r="AD39" s="213"/>
      <c r="AE39" s="214">
        <f>+'Plan de Accion Misional'!BK19</f>
        <v>0.25</v>
      </c>
      <c r="AF39" s="248">
        <f>+'Plan de Accion Misional'!BX19</f>
        <v>1</v>
      </c>
      <c r="AG39" s="212">
        <f t="shared" si="43"/>
        <v>1</v>
      </c>
      <c r="AH39" s="248">
        <f>+'Plan de Accion Misional'!BO19</f>
        <v>1</v>
      </c>
      <c r="AI39" s="211">
        <f t="shared" si="39"/>
        <v>1</v>
      </c>
      <c r="AJ39" s="1482"/>
      <c r="AL39" s="1524"/>
      <c r="AM39" s="1488"/>
      <c r="AN39" s="204"/>
      <c r="AO39" s="1538"/>
      <c r="AP39" s="1488"/>
      <c r="AQ39" s="204"/>
      <c r="AR39" s="1524"/>
      <c r="AS39" s="1488"/>
      <c r="AT39" s="204"/>
      <c r="AU39" s="1524"/>
      <c r="AV39" s="1488"/>
      <c r="AW39" s="202"/>
      <c r="AX39" s="1507"/>
      <c r="AZ39" s="1524"/>
      <c r="BA39" s="1488"/>
      <c r="BB39" s="204"/>
      <c r="BC39" s="1538"/>
      <c r="BD39" s="1488"/>
      <c r="BE39" s="204"/>
      <c r="BF39" s="1524"/>
      <c r="BG39" s="1488"/>
      <c r="BH39" s="204"/>
      <c r="BI39" s="1524"/>
      <c r="BJ39" s="1488"/>
      <c r="BK39" s="202"/>
      <c r="BL39" s="1507"/>
      <c r="BN39" s="1524"/>
      <c r="BO39" s="1488"/>
      <c r="BP39" s="204"/>
      <c r="BQ39" s="1538"/>
      <c r="BR39" s="1488"/>
      <c r="BS39" s="204"/>
      <c r="BT39" s="1524"/>
      <c r="BU39" s="1488"/>
      <c r="BV39" s="204"/>
      <c r="BW39" s="1524"/>
      <c r="BX39" s="1488"/>
      <c r="BY39" s="202"/>
      <c r="BZ39" s="1507"/>
      <c r="CB39" s="1524"/>
      <c r="CC39" s="1488"/>
      <c r="CD39" s="204"/>
      <c r="CE39" s="1538"/>
      <c r="CF39" s="1488"/>
      <c r="CG39" s="204"/>
      <c r="CH39" s="1524"/>
      <c r="CI39" s="1488"/>
      <c r="CJ39" s="204"/>
      <c r="CK39" s="1524"/>
      <c r="CL39" s="1488"/>
      <c r="CM39" s="202"/>
      <c r="CN39" s="1507"/>
    </row>
    <row r="40" spans="2:92" ht="30" customHeight="1" x14ac:dyDescent="0.2">
      <c r="B40" s="1586"/>
      <c r="C40" s="1481"/>
      <c r="D40" s="1438"/>
      <c r="E40" s="1444"/>
      <c r="F40" s="1444"/>
      <c r="G40" s="322" t="str">
        <f>+'Plan de Accion Misional'!K20</f>
        <v>Estados Financieros</v>
      </c>
      <c r="H40" s="1548"/>
      <c r="J40" s="214">
        <f>+'Plan de Accion Misional'!AQ20</f>
        <v>1</v>
      </c>
      <c r="K40" s="531">
        <f>+'Plan de Accion Misional'!BS20</f>
        <v>0.77639309108345789</v>
      </c>
      <c r="L40" s="531">
        <f>IF(K40&gt;100%,100%,K40)</f>
        <v>0.77639309108345789</v>
      </c>
      <c r="M40" s="531">
        <f>+'Plan de Accion Misional'!AL20</f>
        <v>0.19409827277086447</v>
      </c>
      <c r="N40" s="531">
        <f>IF(M40&gt;100%,100%,M40)</f>
        <v>0.19409827277086447</v>
      </c>
      <c r="O40" s="531">
        <f>+N40</f>
        <v>0.19409827277086447</v>
      </c>
      <c r="P40" s="213"/>
      <c r="Q40" s="214">
        <f>+'Plan de Accion Misional'!AQ20</f>
        <v>1</v>
      </c>
      <c r="R40" s="248">
        <f>+'Plan de Accion Misional'!BT20</f>
        <v>1</v>
      </c>
      <c r="S40" s="212">
        <f>IF(R40&gt;100%,100%,R40)</f>
        <v>1</v>
      </c>
      <c r="T40" s="325">
        <f>+'Plan de Accion Misional'!AV20</f>
        <v>0.4440982727708645</v>
      </c>
      <c r="U40" s="325">
        <f t="shared" si="37"/>
        <v>0.4440982727708645</v>
      </c>
      <c r="V40" s="211">
        <f>+U40</f>
        <v>0.4440982727708645</v>
      </c>
      <c r="W40" s="213"/>
      <c r="X40" s="214">
        <f>+'Plan de Accion Misional'!BA20</f>
        <v>1</v>
      </c>
      <c r="Y40" s="248">
        <f>+'Plan de Accion Misional'!BV20</f>
        <v>1</v>
      </c>
      <c r="Z40" s="212">
        <f t="shared" si="41"/>
        <v>1</v>
      </c>
      <c r="AA40" s="217">
        <f>+'Plan de Accion Misional'!BF20</f>
        <v>0.69409827277086444</v>
      </c>
      <c r="AB40" s="217">
        <f t="shared" si="38"/>
        <v>0.69409827277086444</v>
      </c>
      <c r="AC40" s="332">
        <f t="shared" si="42"/>
        <v>0.69409827277086444</v>
      </c>
      <c r="AD40" s="213"/>
      <c r="AE40" s="214">
        <f>+'Plan de Accion Misional'!BK20</f>
        <v>1</v>
      </c>
      <c r="AF40" s="248">
        <f>+'Plan de Accion Misional'!BX20</f>
        <v>1</v>
      </c>
      <c r="AG40" s="212">
        <f t="shared" si="43"/>
        <v>1</v>
      </c>
      <c r="AH40" s="248">
        <f>+'Plan de Accion Misional'!BO20</f>
        <v>1</v>
      </c>
      <c r="AI40" s="211">
        <f t="shared" si="39"/>
        <v>1</v>
      </c>
      <c r="AJ40" s="1482"/>
      <c r="AL40" s="1524"/>
      <c r="AM40" s="1488"/>
      <c r="AN40" s="204"/>
      <c r="AO40" s="1538"/>
      <c r="AP40" s="1488"/>
      <c r="AQ40" s="204"/>
      <c r="AR40" s="1524"/>
      <c r="AS40" s="1488"/>
      <c r="AT40" s="204"/>
      <c r="AU40" s="1524"/>
      <c r="AV40" s="1488"/>
      <c r="AW40" s="202"/>
      <c r="AX40" s="1507"/>
      <c r="AZ40" s="1524"/>
      <c r="BA40" s="1488"/>
      <c r="BB40" s="204"/>
      <c r="BC40" s="1538"/>
      <c r="BD40" s="1488"/>
      <c r="BE40" s="204"/>
      <c r="BF40" s="1524"/>
      <c r="BG40" s="1488"/>
      <c r="BH40" s="204"/>
      <c r="BI40" s="1524"/>
      <c r="BJ40" s="1488"/>
      <c r="BK40" s="202"/>
      <c r="BL40" s="1507"/>
      <c r="BN40" s="1524"/>
      <c r="BO40" s="1488"/>
      <c r="BP40" s="204"/>
      <c r="BQ40" s="1538"/>
      <c r="BR40" s="1488"/>
      <c r="BS40" s="204"/>
      <c r="BT40" s="1524"/>
      <c r="BU40" s="1488"/>
      <c r="BV40" s="204"/>
      <c r="BW40" s="1524"/>
      <c r="BX40" s="1488"/>
      <c r="BY40" s="202"/>
      <c r="BZ40" s="1507"/>
      <c r="CB40" s="1524"/>
      <c r="CC40" s="1488"/>
      <c r="CD40" s="204"/>
      <c r="CE40" s="1538"/>
      <c r="CF40" s="1488"/>
      <c r="CG40" s="204"/>
      <c r="CH40" s="1524"/>
      <c r="CI40" s="1488"/>
      <c r="CJ40" s="204"/>
      <c r="CK40" s="1524"/>
      <c r="CL40" s="1488"/>
      <c r="CM40" s="202"/>
      <c r="CN40" s="1507"/>
    </row>
    <row r="41" spans="2:92" ht="84" customHeight="1" x14ac:dyDescent="0.2">
      <c r="B41" s="1586"/>
      <c r="C41" s="1459" t="s">
        <v>60</v>
      </c>
      <c r="D41" s="1436" t="s">
        <v>204</v>
      </c>
      <c r="E41" s="1439" t="s">
        <v>125</v>
      </c>
      <c r="F41" s="1442" t="s">
        <v>330</v>
      </c>
      <c r="G41" s="315" t="str">
        <f>+'Plan de Accion apoyo transversa'!X22</f>
        <v>Actas de las audiencias, memoriales y
providencias judiciales que se generen en la ejecución de las actividades de defensa de los intereses de la entidad</v>
      </c>
      <c r="H41" s="339" t="str">
        <f>+'Plan de Accion apoyo transversa'!AK22</f>
        <v>Producto pagado /producto entregado</v>
      </c>
      <c r="I41" s="204"/>
      <c r="J41" s="214" t="e">
        <f>+'Plan de Accion apoyo transversa'!AW22</f>
        <v>#DIV/0!</v>
      </c>
      <c r="K41" s="476" t="str">
        <f>+'Plan de Accion apoyo transversa'!CF22</f>
        <v>No Prog, Ejec=  20626000</v>
      </c>
      <c r="L41" s="476" t="s">
        <v>204</v>
      </c>
      <c r="M41" s="476">
        <f>+'Plan de Accion apoyo transversa'!AY22</f>
        <v>7.7650531198000194E-2</v>
      </c>
      <c r="N41" s="476">
        <f t="shared" si="40"/>
        <v>7.7650531198000194E-2</v>
      </c>
      <c r="O41" s="476" t="s">
        <v>204</v>
      </c>
      <c r="P41" s="213"/>
      <c r="Q41" s="214" t="e">
        <f>+'Plan de Accion apoyo transversa'!BG22</f>
        <v>#DIV/0!</v>
      </c>
      <c r="R41" s="248" t="str">
        <f>+'Plan de Accion apoyo transversa'!CH22</f>
        <v>No Prog, Ejec=  110000000</v>
      </c>
      <c r="S41" s="212" t="s">
        <v>204</v>
      </c>
      <c r="T41" s="304">
        <f>+'Plan de Accion apoyo transversa'!BI22</f>
        <v>0.49176661923155113</v>
      </c>
      <c r="U41" s="304">
        <f t="shared" ref="U41:U59" si="44">IF(T41&gt;100%,100%,T41)</f>
        <v>0.49176661923155113</v>
      </c>
      <c r="V41" s="211" t="s">
        <v>204</v>
      </c>
      <c r="W41" s="213"/>
      <c r="X41" s="214" t="e">
        <f>+'Plan de Accion apoyo transversa'!BQ22</f>
        <v>#DIV/0!</v>
      </c>
      <c r="Y41" s="248" t="str">
        <f>+'Plan de Accion apoyo transversa'!CJ22</f>
        <v>No Prog ni Ejec</v>
      </c>
      <c r="Z41" s="212" t="s">
        <v>204</v>
      </c>
      <c r="AA41" s="217">
        <f>+'Plan de Accion apoyo transversa'!BS22</f>
        <v>0.49176661923155113</v>
      </c>
      <c r="AB41" s="217">
        <f t="shared" ref="AB41:AB59" si="45">IF(AA41&gt;100%,100%,AA41)</f>
        <v>0.49176661923155113</v>
      </c>
      <c r="AC41" s="302">
        <f t="shared" si="42"/>
        <v>0.49176661923155113</v>
      </c>
      <c r="AD41" s="213"/>
      <c r="AE41" s="214">
        <f>+'Plan de Accion apoyo transversa'!CA22</f>
        <v>0</v>
      </c>
      <c r="AF41" s="248">
        <f>+'Plan de Accion apoyo transversa'!CL22</f>
        <v>0</v>
      </c>
      <c r="AG41" s="212">
        <f t="shared" si="43"/>
        <v>0</v>
      </c>
      <c r="AH41" s="248">
        <f>+'Plan de Accion apoyo transversa'!CC22</f>
        <v>0.49176661923155113</v>
      </c>
      <c r="AI41" s="211">
        <f t="shared" ref="AI41:AI59" si="46">IF(AH41&gt;100%,100%,AH41)</f>
        <v>0.49176661923155113</v>
      </c>
      <c r="AJ41" s="1482"/>
      <c r="AL41" s="1524"/>
      <c r="AM41" s="1488"/>
      <c r="AN41" s="204"/>
      <c r="AO41" s="1538"/>
      <c r="AP41" s="1488"/>
      <c r="AQ41" s="204"/>
      <c r="AR41" s="1524"/>
      <c r="AS41" s="1488"/>
      <c r="AT41" s="204"/>
      <c r="AU41" s="1524"/>
      <c r="AV41" s="1488"/>
      <c r="AW41" s="202"/>
      <c r="AX41" s="1507"/>
      <c r="AZ41" s="1524"/>
      <c r="BA41" s="1488"/>
      <c r="BB41" s="204"/>
      <c r="BC41" s="1538"/>
      <c r="BD41" s="1488"/>
      <c r="BE41" s="204"/>
      <c r="BF41" s="1524"/>
      <c r="BG41" s="1488"/>
      <c r="BH41" s="204"/>
      <c r="BI41" s="1524"/>
      <c r="BJ41" s="1488"/>
      <c r="BK41" s="202"/>
      <c r="BL41" s="1507"/>
      <c r="BN41" s="1524"/>
      <c r="BO41" s="1488"/>
      <c r="BP41" s="204"/>
      <c r="BQ41" s="1538"/>
      <c r="BR41" s="1488"/>
      <c r="BS41" s="204"/>
      <c r="BT41" s="1524"/>
      <c r="BU41" s="1488"/>
      <c r="BV41" s="204"/>
      <c r="BW41" s="1524"/>
      <c r="BX41" s="1488"/>
      <c r="BY41" s="202"/>
      <c r="BZ41" s="1507"/>
      <c r="CB41" s="1524"/>
      <c r="CC41" s="1488"/>
      <c r="CD41" s="204"/>
      <c r="CE41" s="1538"/>
      <c r="CF41" s="1488"/>
      <c r="CG41" s="204"/>
      <c r="CH41" s="1524"/>
      <c r="CI41" s="1488"/>
      <c r="CJ41" s="204"/>
      <c r="CK41" s="1524"/>
      <c r="CL41" s="1488"/>
      <c r="CM41" s="202"/>
      <c r="CN41" s="1507"/>
    </row>
    <row r="42" spans="2:92" ht="99.75" customHeight="1" x14ac:dyDescent="0.2">
      <c r="B42" s="1586"/>
      <c r="C42" s="1471"/>
      <c r="D42" s="1437"/>
      <c r="E42" s="1440"/>
      <c r="F42" s="1443"/>
      <c r="G42" s="315" t="str">
        <f>+'Plan de Accion apoyo transversa'!X23</f>
        <v>Conceptos jurídicos</v>
      </c>
      <c r="H42" s="1546" t="s">
        <v>219</v>
      </c>
      <c r="I42" s="204"/>
      <c r="J42" s="214">
        <f>+'Plan de Accion apoyo transversa'!AW23</f>
        <v>0.28389324986859238</v>
      </c>
      <c r="K42" s="476">
        <f>+'Plan de Accion apoyo transversa'!CF23</f>
        <v>0.28389324986859238</v>
      </c>
      <c r="L42" s="476">
        <f>IF(K42&gt;100%,100%,K42)</f>
        <v>0.28389324986859238</v>
      </c>
      <c r="M42" s="476">
        <f>+'Plan de Accion apoyo transversa'!AY23</f>
        <v>7.0973312467148095E-2</v>
      </c>
      <c r="N42" s="476">
        <f t="shared" si="40"/>
        <v>7.0973312467148095E-2</v>
      </c>
      <c r="O42" s="673">
        <f>+N42</f>
        <v>7.0973312467148095E-2</v>
      </c>
      <c r="P42" s="213"/>
      <c r="Q42" s="214">
        <f>+'Plan de Accion apoyo transversa'!BG23</f>
        <v>0.38134916709924793</v>
      </c>
      <c r="R42" s="248">
        <f>+'Plan de Accion apoyo transversa'!CH23</f>
        <v>0.38134916709924793</v>
      </c>
      <c r="S42" s="212">
        <f>IF(R42&gt;100%,100%,R42)</f>
        <v>0.38134916709924793</v>
      </c>
      <c r="T42" s="304">
        <f>+'Plan de Accion apoyo transversa'!BI23</f>
        <v>0.16631060424196009</v>
      </c>
      <c r="U42" s="304">
        <f t="shared" si="44"/>
        <v>0.16631060424196009</v>
      </c>
      <c r="V42" s="211">
        <f>+U42</f>
        <v>0.16631060424196009</v>
      </c>
      <c r="W42" s="213"/>
      <c r="X42" s="214">
        <f>+'Plan de Accion apoyo transversa'!BQ23</f>
        <v>0.38134916709924793</v>
      </c>
      <c r="Y42" s="248">
        <f>+'Plan de Accion apoyo transversa'!CJ23</f>
        <v>0.38134916709924793</v>
      </c>
      <c r="Z42" s="212">
        <f t="shared" si="41"/>
        <v>0.38134916709924793</v>
      </c>
      <c r="AA42" s="217">
        <f>+'Plan de Accion apoyo transversa'!BS23</f>
        <v>0.26164789601677207</v>
      </c>
      <c r="AB42" s="217">
        <f t="shared" si="45"/>
        <v>0.26164789601677207</v>
      </c>
      <c r="AC42" s="302">
        <f t="shared" si="42"/>
        <v>0.26164789601677207</v>
      </c>
      <c r="AD42" s="213"/>
      <c r="AE42" s="214">
        <f>+'Plan de Accion apoyo transversa'!CA23</f>
        <v>0.45958333074531066</v>
      </c>
      <c r="AF42" s="248">
        <f>+'Plan de Accion apoyo transversa'!CL23</f>
        <v>0.45958333074531066</v>
      </c>
      <c r="AG42" s="212">
        <f t="shared" si="43"/>
        <v>0.45958333074531066</v>
      </c>
      <c r="AH42" s="248">
        <f>+'Plan de Accion apoyo transversa'!CC23</f>
        <v>0.37654372870309977</v>
      </c>
      <c r="AI42" s="211">
        <f t="shared" si="46"/>
        <v>0.37654372870309977</v>
      </c>
      <c r="AJ42" s="1482"/>
      <c r="AL42" s="1524"/>
      <c r="AM42" s="1488"/>
      <c r="AN42" s="204"/>
      <c r="AO42" s="1538"/>
      <c r="AP42" s="1488"/>
      <c r="AQ42" s="204"/>
      <c r="AR42" s="1524"/>
      <c r="AS42" s="1488"/>
      <c r="AT42" s="204"/>
      <c r="AU42" s="1524"/>
      <c r="AV42" s="1488"/>
      <c r="AW42" s="202"/>
      <c r="AX42" s="1507"/>
      <c r="AZ42" s="1524"/>
      <c r="BA42" s="1488"/>
      <c r="BB42" s="204"/>
      <c r="BC42" s="1538"/>
      <c r="BD42" s="1488"/>
      <c r="BE42" s="204"/>
      <c r="BF42" s="1524"/>
      <c r="BG42" s="1488"/>
      <c r="BH42" s="204"/>
      <c r="BI42" s="1524"/>
      <c r="BJ42" s="1488"/>
      <c r="BK42" s="202"/>
      <c r="BL42" s="1507"/>
      <c r="BN42" s="1524"/>
      <c r="BO42" s="1488"/>
      <c r="BP42" s="204"/>
      <c r="BQ42" s="1538"/>
      <c r="BR42" s="1488"/>
      <c r="BS42" s="204"/>
      <c r="BT42" s="1524"/>
      <c r="BU42" s="1488"/>
      <c r="BV42" s="204"/>
      <c r="BW42" s="1524"/>
      <c r="BX42" s="1488"/>
      <c r="BY42" s="202"/>
      <c r="BZ42" s="1507"/>
      <c r="CB42" s="1524"/>
      <c r="CC42" s="1488"/>
      <c r="CD42" s="204"/>
      <c r="CE42" s="1538"/>
      <c r="CF42" s="1488"/>
      <c r="CG42" s="204"/>
      <c r="CH42" s="1524"/>
      <c r="CI42" s="1488"/>
      <c r="CJ42" s="204"/>
      <c r="CK42" s="1524"/>
      <c r="CL42" s="1488"/>
      <c r="CM42" s="202"/>
      <c r="CN42" s="1507"/>
    </row>
    <row r="43" spans="2:92" ht="28.5" x14ac:dyDescent="0.2">
      <c r="B43" s="1586"/>
      <c r="C43" s="1471"/>
      <c r="D43" s="1437"/>
      <c r="E43" s="1440"/>
      <c r="F43" s="1443"/>
      <c r="G43" s="315" t="str">
        <f>+'Plan de Accion apoyo transversa'!X24</f>
        <v>Recursos de casación y representación judicial</v>
      </c>
      <c r="H43" s="1547"/>
      <c r="I43" s="204"/>
      <c r="J43" s="214">
        <f>+'Plan de Accion apoyo transversa'!AW24</f>
        <v>0</v>
      </c>
      <c r="K43" s="476">
        <f>+'Plan de Accion apoyo transversa'!CF24</f>
        <v>0</v>
      </c>
      <c r="L43" s="476">
        <f>IF(K43&gt;100%,100%,K43)</f>
        <v>0</v>
      </c>
      <c r="M43" s="476">
        <f>+'Plan de Accion apoyo transversa'!AY24</f>
        <v>0</v>
      </c>
      <c r="N43" s="476">
        <f t="shared" si="40"/>
        <v>0</v>
      </c>
      <c r="O43" s="476">
        <f>+N43</f>
        <v>0</v>
      </c>
      <c r="P43" s="213"/>
      <c r="Q43" s="214">
        <f>+'Plan de Accion apoyo transversa'!BG24</f>
        <v>0</v>
      </c>
      <c r="R43" s="248">
        <f>+'Plan de Accion apoyo transversa'!CH24</f>
        <v>0</v>
      </c>
      <c r="S43" s="212">
        <f>IF(R43&gt;100%,100%,R43)</f>
        <v>0</v>
      </c>
      <c r="T43" s="304">
        <f>+'Plan de Accion apoyo transversa'!BI24</f>
        <v>0</v>
      </c>
      <c r="U43" s="304">
        <f t="shared" si="44"/>
        <v>0</v>
      </c>
      <c r="V43" s="211">
        <f>+U43</f>
        <v>0</v>
      </c>
      <c r="W43" s="213"/>
      <c r="X43" s="214">
        <f>+'Plan de Accion apoyo transversa'!BQ24</f>
        <v>0</v>
      </c>
      <c r="Y43" s="248">
        <f>+'Plan de Accion apoyo transversa'!CJ24</f>
        <v>0</v>
      </c>
      <c r="Z43" s="212">
        <f t="shared" ref="Z43:Z50" si="47">IF(Y43&gt;100%,100%,Y43)</f>
        <v>0</v>
      </c>
      <c r="AA43" s="217">
        <f>+'Plan de Accion apoyo transversa'!BS24</f>
        <v>0</v>
      </c>
      <c r="AB43" s="217">
        <f t="shared" si="45"/>
        <v>0</v>
      </c>
      <c r="AC43" s="302">
        <f t="shared" ref="AC43:AC50" si="48">+AB43</f>
        <v>0</v>
      </c>
      <c r="AD43" s="213"/>
      <c r="AE43" s="214">
        <f>+'Plan de Accion apoyo transversa'!CA24</f>
        <v>0</v>
      </c>
      <c r="AF43" s="248">
        <f>+'Plan de Accion apoyo transversa'!CL24</f>
        <v>0</v>
      </c>
      <c r="AG43" s="212">
        <f t="shared" ref="AG43:AG59" si="49">IF(AF43&gt;100%,100%,AF43)</f>
        <v>0</v>
      </c>
      <c r="AH43" s="248">
        <f>+'Plan de Accion apoyo transversa'!CC24</f>
        <v>0</v>
      </c>
      <c r="AI43" s="211">
        <f t="shared" si="46"/>
        <v>0</v>
      </c>
      <c r="AJ43" s="1482"/>
      <c r="AL43" s="1524"/>
      <c r="AM43" s="1488"/>
      <c r="AN43" s="204"/>
      <c r="AO43" s="1538"/>
      <c r="AP43" s="1488"/>
      <c r="AQ43" s="204"/>
      <c r="AR43" s="1524"/>
      <c r="AS43" s="1488"/>
      <c r="AT43" s="204"/>
      <c r="AU43" s="1524"/>
      <c r="AV43" s="1488"/>
      <c r="AW43" s="202"/>
      <c r="AX43" s="1507"/>
      <c r="AZ43" s="1524"/>
      <c r="BA43" s="1488"/>
      <c r="BB43" s="204"/>
      <c r="BC43" s="1538"/>
      <c r="BD43" s="1488"/>
      <c r="BE43" s="204"/>
      <c r="BF43" s="1524"/>
      <c r="BG43" s="1488"/>
      <c r="BH43" s="204"/>
      <c r="BI43" s="1524"/>
      <c r="BJ43" s="1488"/>
      <c r="BK43" s="202"/>
      <c r="BL43" s="1507"/>
      <c r="BN43" s="1524"/>
      <c r="BO43" s="1488"/>
      <c r="BP43" s="204"/>
      <c r="BQ43" s="1538"/>
      <c r="BR43" s="1488"/>
      <c r="BS43" s="204"/>
      <c r="BT43" s="1524"/>
      <c r="BU43" s="1488"/>
      <c r="BV43" s="204"/>
      <c r="BW43" s="1524"/>
      <c r="BX43" s="1488"/>
      <c r="BY43" s="202"/>
      <c r="BZ43" s="1507"/>
      <c r="CB43" s="1524"/>
      <c r="CC43" s="1488"/>
      <c r="CD43" s="204"/>
      <c r="CE43" s="1538"/>
      <c r="CF43" s="1488"/>
      <c r="CG43" s="204"/>
      <c r="CH43" s="1524"/>
      <c r="CI43" s="1488"/>
      <c r="CJ43" s="204"/>
      <c r="CK43" s="1524"/>
      <c r="CL43" s="1488"/>
      <c r="CM43" s="202"/>
      <c r="CN43" s="1507"/>
    </row>
    <row r="44" spans="2:92" ht="47.25" customHeight="1" x14ac:dyDescent="0.2">
      <c r="B44" s="1586"/>
      <c r="C44" s="1471"/>
      <c r="D44" s="1437"/>
      <c r="E44" s="1440"/>
      <c r="F44" s="1443"/>
      <c r="G44" s="315" t="str">
        <f>+'Plan de Accion apoyo transversa'!X25</f>
        <v>Vigilancia judicial</v>
      </c>
      <c r="H44" s="1547"/>
      <c r="I44" s="204"/>
      <c r="J44" s="214">
        <f>+'Plan de Accion apoyo transversa'!AW25</f>
        <v>0</v>
      </c>
      <c r="K44" s="476">
        <f>+'Plan de Accion apoyo transversa'!CF25</f>
        <v>0</v>
      </c>
      <c r="L44" s="476">
        <f>IF(K44&gt;100%,100%,K44)</f>
        <v>0</v>
      </c>
      <c r="M44" s="476">
        <f>+'Plan de Accion apoyo transversa'!AY25</f>
        <v>0</v>
      </c>
      <c r="N44" s="476">
        <f>IF(M44&gt;100%,100%,M44)</f>
        <v>0</v>
      </c>
      <c r="O44" s="476">
        <f>+N44</f>
        <v>0</v>
      </c>
      <c r="P44" s="213"/>
      <c r="Q44" s="214">
        <f>+'Plan de Accion apoyo transversa'!BG25</f>
        <v>0.95158350466666664</v>
      </c>
      <c r="R44" s="248">
        <f>+'Plan de Accion apoyo transversa'!CH25</f>
        <v>0.95158350466666664</v>
      </c>
      <c r="S44" s="212">
        <f>IF(R44&gt;100%,100%,R44)</f>
        <v>0.95158350466666664</v>
      </c>
      <c r="T44" s="304">
        <f>+'Plan de Accion apoyo transversa'!BI25</f>
        <v>0.23789587616666666</v>
      </c>
      <c r="U44" s="304">
        <f t="shared" si="44"/>
        <v>0.23789587616666666</v>
      </c>
      <c r="V44" s="211">
        <f>+U44</f>
        <v>0.23789587616666666</v>
      </c>
      <c r="W44" s="213"/>
      <c r="X44" s="214">
        <f>+'Plan de Accion apoyo transversa'!BQ25</f>
        <v>1.5367948666666666</v>
      </c>
      <c r="Y44" s="248">
        <f>+'Plan de Accion apoyo transversa'!CJ25</f>
        <v>1.5367948666666666</v>
      </c>
      <c r="Z44" s="212">
        <f t="shared" si="47"/>
        <v>1</v>
      </c>
      <c r="AA44" s="217">
        <f>+'Plan de Accion apoyo transversa'!BS25</f>
        <v>0.62209459283333335</v>
      </c>
      <c r="AB44" s="217">
        <f t="shared" si="45"/>
        <v>0.62209459283333335</v>
      </c>
      <c r="AC44" s="302">
        <f t="shared" si="48"/>
        <v>0.62209459283333335</v>
      </c>
      <c r="AD44" s="213">
        <v>1</v>
      </c>
      <c r="AE44" s="214">
        <f>+'Plan de Accion apoyo transversa'!CA25</f>
        <v>1.5115949555555555</v>
      </c>
      <c r="AF44" s="248">
        <f>+'Plan de Accion apoyo transversa'!CL25</f>
        <v>1.5115949555555555</v>
      </c>
      <c r="AG44" s="212">
        <f t="shared" si="49"/>
        <v>1</v>
      </c>
      <c r="AH44" s="248">
        <f>+'Plan de Accion apoyo transversa'!CC25</f>
        <v>0.99999333172222227</v>
      </c>
      <c r="AI44" s="211">
        <f t="shared" si="46"/>
        <v>0.99999333172222227</v>
      </c>
      <c r="AJ44" s="1482"/>
      <c r="AK44" s="1165">
        <v>1</v>
      </c>
      <c r="AL44" s="1524"/>
      <c r="AM44" s="1488"/>
      <c r="AN44" s="204"/>
      <c r="AO44" s="1538"/>
      <c r="AP44" s="1488"/>
      <c r="AQ44" s="204"/>
      <c r="AR44" s="1524"/>
      <c r="AS44" s="1488"/>
      <c r="AT44" s="204"/>
      <c r="AU44" s="1524"/>
      <c r="AV44" s="1488"/>
      <c r="AW44" s="202"/>
      <c r="AX44" s="1507"/>
      <c r="AZ44" s="1524"/>
      <c r="BA44" s="1488"/>
      <c r="BB44" s="204"/>
      <c r="BC44" s="1538"/>
      <c r="BD44" s="1488"/>
      <c r="BE44" s="204"/>
      <c r="BF44" s="1524"/>
      <c r="BG44" s="1488"/>
      <c r="BH44" s="204"/>
      <c r="BI44" s="1524"/>
      <c r="BJ44" s="1488"/>
      <c r="BK44" s="202"/>
      <c r="BL44" s="1507"/>
      <c r="BN44" s="1524"/>
      <c r="BO44" s="1488"/>
      <c r="BP44" s="204"/>
      <c r="BQ44" s="1538"/>
      <c r="BR44" s="1488"/>
      <c r="BS44" s="204"/>
      <c r="BT44" s="1524"/>
      <c r="BU44" s="1488"/>
      <c r="BV44" s="204"/>
      <c r="BW44" s="1524"/>
      <c r="BX44" s="1488"/>
      <c r="BY44" s="202"/>
      <c r="BZ44" s="1507"/>
      <c r="CB44" s="1524"/>
      <c r="CC44" s="1488"/>
      <c r="CD44" s="204"/>
      <c r="CE44" s="1538"/>
      <c r="CF44" s="1488"/>
      <c r="CG44" s="204"/>
      <c r="CH44" s="1524"/>
      <c r="CI44" s="1488"/>
      <c r="CJ44" s="204"/>
      <c r="CK44" s="1524"/>
      <c r="CL44" s="1488"/>
      <c r="CM44" s="202"/>
      <c r="CN44" s="1507"/>
    </row>
    <row r="45" spans="2:92" ht="42.75" x14ac:dyDescent="0.2">
      <c r="B45" s="1586"/>
      <c r="C45" s="1471"/>
      <c r="D45" s="1437"/>
      <c r="E45" s="1440"/>
      <c r="F45" s="1443"/>
      <c r="G45" s="315" t="str">
        <f>+'Plan de Accion apoyo transversa'!X26</f>
        <v>Revisión, análisis y liquidación de sentencias condenatorias</v>
      </c>
      <c r="H45" s="1547"/>
      <c r="I45" s="204"/>
      <c r="J45" s="1490">
        <f>+'Plan de Accion apoyo transversa'!AW26</f>
        <v>0.58888886130175699</v>
      </c>
      <c r="K45" s="1447">
        <f>+'Plan de Accion apoyo transversa'!CF26</f>
        <v>0.58888886130175699</v>
      </c>
      <c r="L45" s="1447">
        <f>IF(K45&gt;100%,100%,K45)</f>
        <v>0.58888886130175699</v>
      </c>
      <c r="M45" s="1447">
        <f>+'Plan de Accion apoyo transversa'!AY26</f>
        <v>0.14722221532543925</v>
      </c>
      <c r="N45" s="1447">
        <f>IF(M45&gt;100%,100%,M45)</f>
        <v>0.14722221532543925</v>
      </c>
      <c r="O45" s="1447">
        <f>+N45</f>
        <v>0.14722221532543925</v>
      </c>
      <c r="P45" s="213"/>
      <c r="Q45" s="1490">
        <f>+'Plan de Accion apoyo transversa'!BG26</f>
        <v>1</v>
      </c>
      <c r="R45" s="1484">
        <f>+'Plan de Accion apoyo transversa'!CH26</f>
        <v>1</v>
      </c>
      <c r="S45" s="1484">
        <f>IF(R45&gt;100%,100%,R45)</f>
        <v>1</v>
      </c>
      <c r="T45" s="1484">
        <f>+'Plan de Accion apoyo transversa'!BI26</f>
        <v>0.39722221532543928</v>
      </c>
      <c r="U45" s="1484">
        <f t="shared" si="44"/>
        <v>0.39722221532543928</v>
      </c>
      <c r="V45" s="1486">
        <f>+U45</f>
        <v>0.39722221532543928</v>
      </c>
      <c r="W45" s="213"/>
      <c r="X45" s="1490">
        <f>+'Plan de Accion apoyo transversa'!BQ26</f>
        <v>1</v>
      </c>
      <c r="Y45" s="1484">
        <f>+'Plan de Accion apoyo transversa'!CJ26</f>
        <v>1</v>
      </c>
      <c r="Z45" s="1484">
        <f t="shared" si="47"/>
        <v>1</v>
      </c>
      <c r="AA45" s="1517">
        <f>+'Plan de Accion apoyo transversa'!BS26</f>
        <v>0.64722221532543922</v>
      </c>
      <c r="AB45" s="1517">
        <f t="shared" si="45"/>
        <v>0.64722221532543922</v>
      </c>
      <c r="AC45" s="1519">
        <f t="shared" si="48"/>
        <v>0.64722221532543922</v>
      </c>
      <c r="AD45" s="213"/>
      <c r="AE45" s="1490">
        <f>+'Plan de Accion apoyo transversa'!CA26</f>
        <v>0.47012106713145468</v>
      </c>
      <c r="AF45" s="1484">
        <f>+'Plan de Accion apoyo transversa'!CL26</f>
        <v>0.47012106713145468</v>
      </c>
      <c r="AG45" s="1484">
        <f t="shared" si="49"/>
        <v>0.47012106713145468</v>
      </c>
      <c r="AH45" s="1484">
        <f>+'Plan de Accion apoyo transversa'!CC26</f>
        <v>0.76475248210830293</v>
      </c>
      <c r="AI45" s="1486">
        <f t="shared" si="46"/>
        <v>0.76475248210830293</v>
      </c>
      <c r="AJ45" s="1482"/>
      <c r="AL45" s="1524"/>
      <c r="AM45" s="1488"/>
      <c r="AN45" s="204"/>
      <c r="AO45" s="1538"/>
      <c r="AP45" s="1488"/>
      <c r="AQ45" s="204"/>
      <c r="AR45" s="1524"/>
      <c r="AS45" s="1488"/>
      <c r="AT45" s="204"/>
      <c r="AU45" s="1524"/>
      <c r="AV45" s="1488"/>
      <c r="AW45" s="202"/>
      <c r="AX45" s="1507"/>
      <c r="AZ45" s="1524"/>
      <c r="BA45" s="1488"/>
      <c r="BB45" s="204"/>
      <c r="BC45" s="1538"/>
      <c r="BD45" s="1488"/>
      <c r="BE45" s="204"/>
      <c r="BF45" s="1524"/>
      <c r="BG45" s="1488"/>
      <c r="BH45" s="204"/>
      <c r="BI45" s="1524"/>
      <c r="BJ45" s="1488"/>
      <c r="BK45" s="202"/>
      <c r="BL45" s="1507"/>
      <c r="BN45" s="1524"/>
      <c r="BO45" s="1488"/>
      <c r="BP45" s="204"/>
      <c r="BQ45" s="1538"/>
      <c r="BR45" s="1488"/>
      <c r="BS45" s="204"/>
      <c r="BT45" s="1524"/>
      <c r="BU45" s="1488"/>
      <c r="BV45" s="204"/>
      <c r="BW45" s="1524"/>
      <c r="BX45" s="1488"/>
      <c r="BY45" s="202"/>
      <c r="BZ45" s="1507"/>
      <c r="CB45" s="1524"/>
      <c r="CC45" s="1488"/>
      <c r="CD45" s="204"/>
      <c r="CE45" s="1538"/>
      <c r="CF45" s="1488"/>
      <c r="CG45" s="204"/>
      <c r="CH45" s="1524"/>
      <c r="CI45" s="1488"/>
      <c r="CJ45" s="204"/>
      <c r="CK45" s="1524"/>
      <c r="CL45" s="1488"/>
      <c r="CM45" s="202"/>
      <c r="CN45" s="1507"/>
    </row>
    <row r="46" spans="2:92" ht="16.5" customHeight="1" thickBot="1" x14ac:dyDescent="0.25">
      <c r="B46" s="1586"/>
      <c r="C46" s="1471"/>
      <c r="D46" s="1437"/>
      <c r="E46" s="1440"/>
      <c r="F46" s="1443"/>
      <c r="G46" s="315" t="str">
        <f>+'Plan de Accion apoyo transversa'!X27</f>
        <v>Procesos radicados en Ekogui</v>
      </c>
      <c r="H46" s="1547"/>
      <c r="I46" s="204"/>
      <c r="J46" s="1491"/>
      <c r="K46" s="1448"/>
      <c r="L46" s="1448"/>
      <c r="M46" s="1448"/>
      <c r="N46" s="1448"/>
      <c r="O46" s="1448"/>
      <c r="P46" s="213"/>
      <c r="Q46" s="1491"/>
      <c r="R46" s="1513"/>
      <c r="S46" s="1513"/>
      <c r="T46" s="1513"/>
      <c r="U46" s="1513"/>
      <c r="V46" s="1512"/>
      <c r="W46" s="213"/>
      <c r="X46" s="1491"/>
      <c r="Y46" s="1513"/>
      <c r="Z46" s="1513"/>
      <c r="AA46" s="1522"/>
      <c r="AB46" s="1522"/>
      <c r="AC46" s="1521"/>
      <c r="AD46" s="213"/>
      <c r="AE46" s="1491"/>
      <c r="AF46" s="1513"/>
      <c r="AG46" s="1513"/>
      <c r="AH46" s="1513"/>
      <c r="AI46" s="1512"/>
      <c r="AJ46" s="1483"/>
      <c r="AL46" s="1525"/>
      <c r="AM46" s="1489"/>
      <c r="AN46" s="204"/>
      <c r="AO46" s="1539"/>
      <c r="AP46" s="1489"/>
      <c r="AQ46" s="204"/>
      <c r="AR46" s="1525"/>
      <c r="AS46" s="1489"/>
      <c r="AT46" s="204"/>
      <c r="AU46" s="1525"/>
      <c r="AV46" s="1489"/>
      <c r="AW46" s="202"/>
      <c r="AX46" s="1508"/>
      <c r="AZ46" s="1525"/>
      <c r="BA46" s="1489"/>
      <c r="BB46" s="204"/>
      <c r="BC46" s="1539"/>
      <c r="BD46" s="1489"/>
      <c r="BE46" s="204"/>
      <c r="BF46" s="1525"/>
      <c r="BG46" s="1489"/>
      <c r="BH46" s="204"/>
      <c r="BI46" s="1525"/>
      <c r="BJ46" s="1489"/>
      <c r="BK46" s="202"/>
      <c r="BL46" s="1508"/>
      <c r="BN46" s="1525"/>
      <c r="BO46" s="1489"/>
      <c r="BP46" s="204"/>
      <c r="BQ46" s="1539"/>
      <c r="BR46" s="1489"/>
      <c r="BS46" s="204"/>
      <c r="BT46" s="1525"/>
      <c r="BU46" s="1489"/>
      <c r="BV46" s="204"/>
      <c r="BW46" s="1525"/>
      <c r="BX46" s="1489"/>
      <c r="BY46" s="202"/>
      <c r="BZ46" s="1508"/>
      <c r="CB46" s="1525"/>
      <c r="CC46" s="1489"/>
      <c r="CD46" s="204"/>
      <c r="CE46" s="1539"/>
      <c r="CF46" s="1489"/>
      <c r="CG46" s="204"/>
      <c r="CH46" s="1525"/>
      <c r="CI46" s="1489"/>
      <c r="CJ46" s="204"/>
      <c r="CK46" s="1525"/>
      <c r="CL46" s="1489"/>
      <c r="CM46" s="202"/>
      <c r="CN46" s="1508"/>
    </row>
    <row r="47" spans="2:92" ht="71.25" x14ac:dyDescent="0.2">
      <c r="B47" s="1586"/>
      <c r="C47" s="1471"/>
      <c r="D47" s="1437"/>
      <c r="E47" s="1440"/>
      <c r="F47" s="1443"/>
      <c r="G47" s="315" t="str">
        <f>+'Plan de Accion apoyo transversa'!X28</f>
        <v>Entrega de la provisión de contingencias judiciales al Grupo de Gestión Contable y Control de Recursos ET en la fecha pactada</v>
      </c>
      <c r="H47" s="1547"/>
      <c r="I47" s="204"/>
      <c r="J47" s="1492"/>
      <c r="K47" s="1449"/>
      <c r="L47" s="1449"/>
      <c r="M47" s="1449"/>
      <c r="N47" s="1449"/>
      <c r="O47" s="1449"/>
      <c r="P47" s="213"/>
      <c r="Q47" s="1492"/>
      <c r="R47" s="1485"/>
      <c r="S47" s="1485"/>
      <c r="T47" s="1485"/>
      <c r="U47" s="1485"/>
      <c r="V47" s="1487"/>
      <c r="W47" s="213"/>
      <c r="X47" s="1492"/>
      <c r="Y47" s="1485"/>
      <c r="Z47" s="1485"/>
      <c r="AA47" s="1518"/>
      <c r="AB47" s="1518"/>
      <c r="AC47" s="1520"/>
      <c r="AD47" s="213"/>
      <c r="AE47" s="1492"/>
      <c r="AF47" s="1485"/>
      <c r="AG47" s="1485"/>
      <c r="AH47" s="1485"/>
      <c r="AI47" s="1487"/>
      <c r="AJ47" s="232"/>
      <c r="AL47" s="1499"/>
      <c r="AM47" s="1499"/>
      <c r="AN47" s="204"/>
      <c r="AO47" s="1500"/>
      <c r="AP47" s="1499"/>
      <c r="AQ47" s="204"/>
      <c r="AR47" s="1499"/>
      <c r="AS47" s="1499"/>
      <c r="AT47" s="204"/>
      <c r="AU47" s="1499"/>
      <c r="AV47" s="1499"/>
      <c r="AW47" s="202"/>
      <c r="AX47" s="231"/>
      <c r="AZ47" s="1499"/>
      <c r="BA47" s="1499"/>
      <c r="BB47" s="204"/>
      <c r="BC47" s="1500"/>
      <c r="BD47" s="1499"/>
      <c r="BE47" s="204"/>
      <c r="BF47" s="1499"/>
      <c r="BG47" s="1499"/>
      <c r="BH47" s="204"/>
      <c r="BI47" s="1499"/>
      <c r="BJ47" s="1499"/>
      <c r="BK47" s="202"/>
      <c r="BL47" s="231"/>
      <c r="BN47" s="1499"/>
      <c r="BO47" s="1499"/>
      <c r="BP47" s="204"/>
      <c r="BQ47" s="1500"/>
      <c r="BR47" s="1499"/>
      <c r="BS47" s="204"/>
      <c r="BT47" s="1499"/>
      <c r="BU47" s="1499"/>
      <c r="BV47" s="204"/>
      <c r="BW47" s="1499"/>
      <c r="BX47" s="1499"/>
      <c r="BY47" s="202"/>
      <c r="BZ47" s="231"/>
      <c r="CB47" s="1499"/>
      <c r="CC47" s="1499"/>
      <c r="CD47" s="204"/>
      <c r="CE47" s="1500"/>
      <c r="CF47" s="1499"/>
      <c r="CG47" s="204"/>
      <c r="CH47" s="1499"/>
      <c r="CI47" s="1499"/>
      <c r="CJ47" s="204"/>
      <c r="CK47" s="1499"/>
      <c r="CL47" s="1499"/>
      <c r="CM47" s="202"/>
      <c r="CN47" s="231"/>
    </row>
    <row r="48" spans="2:92" ht="42.75" customHeight="1" x14ac:dyDescent="0.2">
      <c r="B48" s="1586"/>
      <c r="C48" s="1471"/>
      <c r="D48" s="1437"/>
      <c r="E48" s="1440"/>
      <c r="F48" s="1443"/>
      <c r="G48" s="1439" t="str">
        <f>+'Plan de Accion apoyo transversa'!X29</f>
        <v>Intervención en los procesos e investigaciones penales</v>
      </c>
      <c r="H48" s="1547"/>
      <c r="I48" s="204"/>
      <c r="J48" s="1490">
        <f>+'Plan de Accion apoyo transversa'!AW29</f>
        <v>0.58888887585826222</v>
      </c>
      <c r="K48" s="1447">
        <f>+'Plan de Accion apoyo transversa'!CF29</f>
        <v>0.58888887585826222</v>
      </c>
      <c r="L48" s="1447">
        <f>IF(K48&gt;100%,100%,K48)</f>
        <v>0.58888887585826222</v>
      </c>
      <c r="M48" s="1447">
        <f>+'Plan de Accion apoyo transversa'!AY29</f>
        <v>0.14722221896456555</v>
      </c>
      <c r="N48" s="1447">
        <f>IF(M48&gt;100%,100%,M48)</f>
        <v>0.14722221896456555</v>
      </c>
      <c r="O48" s="1447">
        <f>+N48</f>
        <v>0.14722221896456555</v>
      </c>
      <c r="P48" s="213"/>
      <c r="Q48" s="1490">
        <f>+'Plan de Accion apoyo transversa'!BG29</f>
        <v>1</v>
      </c>
      <c r="R48" s="1484">
        <f>+'Plan de Accion apoyo transversa'!CH29</f>
        <v>1</v>
      </c>
      <c r="S48" s="1484">
        <f>IF(R48&gt;100%,100%,R48)</f>
        <v>1</v>
      </c>
      <c r="T48" s="1484">
        <f>+'Plan de Accion apoyo transversa'!BI29</f>
        <v>0.39722221896456555</v>
      </c>
      <c r="U48" s="1484">
        <f t="shared" si="44"/>
        <v>0.39722221896456555</v>
      </c>
      <c r="V48" s="1486">
        <f>+U48</f>
        <v>0.39722221896456555</v>
      </c>
      <c r="W48" s="213"/>
      <c r="X48" s="1490">
        <f>+'Plan de Accion apoyo transversa'!BQ29</f>
        <v>1</v>
      </c>
      <c r="Y48" s="1484">
        <f>+'Plan de Accion apoyo transversa'!CJ29</f>
        <v>1</v>
      </c>
      <c r="Z48" s="1484">
        <f t="shared" si="47"/>
        <v>1</v>
      </c>
      <c r="AA48" s="1517">
        <f>+'Plan de Accion apoyo transversa'!BS29</f>
        <v>0.64722221896456555</v>
      </c>
      <c r="AB48" s="1517">
        <f t="shared" si="45"/>
        <v>0.64722221896456555</v>
      </c>
      <c r="AC48" s="1519">
        <f t="shared" si="48"/>
        <v>0.64722221896456555</v>
      </c>
      <c r="AD48" s="213"/>
      <c r="AE48" s="1490">
        <f>+'Plan de Accion apoyo transversa'!CA29</f>
        <v>1</v>
      </c>
      <c r="AF48" s="1484">
        <f>+'Plan de Accion apoyo transversa'!CL29</f>
        <v>1</v>
      </c>
      <c r="AG48" s="1484">
        <f t="shared" si="49"/>
        <v>1</v>
      </c>
      <c r="AH48" s="1484">
        <f>+'Plan de Accion apoyo transversa'!CC29</f>
        <v>0.89722221896456555</v>
      </c>
      <c r="AI48" s="1486">
        <f t="shared" si="46"/>
        <v>0.89722221896456555</v>
      </c>
      <c r="AJ48" s="230"/>
      <c r="AL48" s="1488"/>
      <c r="AM48" s="1488"/>
      <c r="AN48" s="204"/>
      <c r="AO48" s="1501"/>
      <c r="AP48" s="1488"/>
      <c r="AQ48" s="204"/>
      <c r="AR48" s="1488"/>
      <c r="AS48" s="1488"/>
      <c r="AT48" s="204"/>
      <c r="AU48" s="1488"/>
      <c r="AV48" s="1488"/>
      <c r="AW48" s="202"/>
      <c r="AX48" s="229"/>
      <c r="AZ48" s="1488"/>
      <c r="BA48" s="1488"/>
      <c r="BB48" s="204"/>
      <c r="BC48" s="1501"/>
      <c r="BD48" s="1488"/>
      <c r="BE48" s="204"/>
      <c r="BF48" s="1488"/>
      <c r="BG48" s="1488"/>
      <c r="BH48" s="204"/>
      <c r="BI48" s="1488"/>
      <c r="BJ48" s="1488"/>
      <c r="BK48" s="202"/>
      <c r="BL48" s="229"/>
      <c r="BN48" s="1488"/>
      <c r="BO48" s="1488"/>
      <c r="BP48" s="204"/>
      <c r="BQ48" s="1501"/>
      <c r="BR48" s="1488"/>
      <c r="BS48" s="204"/>
      <c r="BT48" s="1488"/>
      <c r="BU48" s="1488"/>
      <c r="BV48" s="204"/>
      <c r="BW48" s="1488"/>
      <c r="BX48" s="1488"/>
      <c r="BY48" s="202"/>
      <c r="BZ48" s="229"/>
      <c r="CB48" s="1488"/>
      <c r="CC48" s="1488"/>
      <c r="CD48" s="204"/>
      <c r="CE48" s="1501"/>
      <c r="CF48" s="1488"/>
      <c r="CG48" s="204"/>
      <c r="CH48" s="1488"/>
      <c r="CI48" s="1488"/>
      <c r="CJ48" s="204"/>
      <c r="CK48" s="1488"/>
      <c r="CL48" s="1488"/>
      <c r="CM48" s="202"/>
      <c r="CN48" s="229"/>
    </row>
    <row r="49" spans="2:92" ht="15.75" thickBot="1" x14ac:dyDescent="0.25">
      <c r="B49" s="1586"/>
      <c r="C49" s="1471"/>
      <c r="D49" s="1437"/>
      <c r="E49" s="1440"/>
      <c r="F49" s="1443"/>
      <c r="G49" s="1441"/>
      <c r="H49" s="1547"/>
      <c r="I49" s="204"/>
      <c r="J49" s="1492"/>
      <c r="K49" s="1449"/>
      <c r="L49" s="1449"/>
      <c r="M49" s="1449"/>
      <c r="N49" s="1449"/>
      <c r="O49" s="1449"/>
      <c r="P49" s="213"/>
      <c r="Q49" s="1492"/>
      <c r="R49" s="1485"/>
      <c r="S49" s="1485"/>
      <c r="T49" s="1485"/>
      <c r="U49" s="1485"/>
      <c r="V49" s="1487"/>
      <c r="W49" s="213"/>
      <c r="X49" s="1492"/>
      <c r="Y49" s="1485"/>
      <c r="Z49" s="1485"/>
      <c r="AA49" s="1518"/>
      <c r="AB49" s="1518"/>
      <c r="AC49" s="1520"/>
      <c r="AD49" s="213"/>
      <c r="AE49" s="1492"/>
      <c r="AF49" s="1485"/>
      <c r="AG49" s="1485"/>
      <c r="AH49" s="1485"/>
      <c r="AI49" s="1487"/>
      <c r="AJ49" s="228"/>
      <c r="AL49" s="1489"/>
      <c r="AM49" s="1489"/>
      <c r="AN49" s="204"/>
      <c r="AO49" s="1502"/>
      <c r="AP49" s="1489"/>
      <c r="AQ49" s="204"/>
      <c r="AR49" s="1489"/>
      <c r="AS49" s="1489"/>
      <c r="AT49" s="204"/>
      <c r="AU49" s="1489"/>
      <c r="AV49" s="1489"/>
      <c r="AW49" s="202"/>
      <c r="AX49" s="227"/>
      <c r="AZ49" s="1489"/>
      <c r="BA49" s="1489"/>
      <c r="BB49" s="204"/>
      <c r="BC49" s="1502"/>
      <c r="BD49" s="1489"/>
      <c r="BE49" s="204"/>
      <c r="BF49" s="1489"/>
      <c r="BG49" s="1489"/>
      <c r="BH49" s="204"/>
      <c r="BI49" s="1489"/>
      <c r="BJ49" s="1489"/>
      <c r="BK49" s="202"/>
      <c r="BL49" s="227"/>
      <c r="BN49" s="1489"/>
      <c r="BO49" s="1489"/>
      <c r="BP49" s="204"/>
      <c r="BQ49" s="1502"/>
      <c r="BR49" s="1489"/>
      <c r="BS49" s="204"/>
      <c r="BT49" s="1489"/>
      <c r="BU49" s="1489"/>
      <c r="BV49" s="204"/>
      <c r="BW49" s="1489"/>
      <c r="BX49" s="1489"/>
      <c r="BY49" s="202"/>
      <c r="BZ49" s="227"/>
      <c r="CB49" s="1489"/>
      <c r="CC49" s="1489"/>
      <c r="CD49" s="204"/>
      <c r="CE49" s="1502"/>
      <c r="CF49" s="1489"/>
      <c r="CG49" s="204"/>
      <c r="CH49" s="1489"/>
      <c r="CI49" s="1489"/>
      <c r="CJ49" s="204"/>
      <c r="CK49" s="1489"/>
      <c r="CL49" s="1489"/>
      <c r="CM49" s="202"/>
      <c r="CN49" s="227"/>
    </row>
    <row r="50" spans="2:92" ht="28.5" x14ac:dyDescent="0.2">
      <c r="B50" s="1586"/>
      <c r="C50" s="1471"/>
      <c r="D50" s="1437"/>
      <c r="E50" s="1440"/>
      <c r="F50" s="1443"/>
      <c r="G50" s="315" t="str">
        <f>+'Plan de Accion apoyo transversa'!X31</f>
        <v>Demandas Contestadas Oportunamente</v>
      </c>
      <c r="H50" s="1547"/>
      <c r="I50" s="204"/>
      <c r="J50" s="1490">
        <f>+'Plan de Accion apoyo transversa'!AW31</f>
        <v>0.48026049959668166</v>
      </c>
      <c r="K50" s="1447">
        <f>+'Plan de Accion apoyo transversa'!CF31</f>
        <v>0.48026049959668166</v>
      </c>
      <c r="L50" s="1447">
        <f>IF(K50&gt;100%,100%,K50)</f>
        <v>0.48026049959668166</v>
      </c>
      <c r="M50" s="1447">
        <f>+'Plan de Accion apoyo transversa'!AY31</f>
        <v>0.12006512489917041</v>
      </c>
      <c r="N50" s="1447">
        <f>IF(M50&gt;100%,100%,M50)</f>
        <v>0.12006512489917041</v>
      </c>
      <c r="O50" s="1447">
        <f>+N50</f>
        <v>0.12006512489917041</v>
      </c>
      <c r="P50" s="213"/>
      <c r="Q50" s="1490">
        <f>+'Plan de Accion apoyo transversa'!BG31</f>
        <v>0.67021786896948821</v>
      </c>
      <c r="R50" s="1484">
        <f>+'Plan de Accion apoyo transversa'!CH31</f>
        <v>0.67021786896948821</v>
      </c>
      <c r="S50" s="1484">
        <f>IF(R50&gt;100%,100%,R50)</f>
        <v>0.67021786896948821</v>
      </c>
      <c r="T50" s="1484">
        <f>+'Plan de Accion apoyo transversa'!BI31</f>
        <v>0.28761959214154242</v>
      </c>
      <c r="U50" s="1484">
        <f t="shared" si="44"/>
        <v>0.28761959214154242</v>
      </c>
      <c r="V50" s="1486">
        <f>+U50</f>
        <v>0.28761959214154242</v>
      </c>
      <c r="W50" s="213"/>
      <c r="X50" s="1490">
        <f>+'Plan de Accion apoyo transversa'!BQ31</f>
        <v>0.67689220562569463</v>
      </c>
      <c r="Y50" s="1484">
        <f>+'Plan de Accion apoyo transversa'!CJ31</f>
        <v>0.67689220562569463</v>
      </c>
      <c r="Z50" s="1484">
        <f t="shared" si="47"/>
        <v>0.67689220562569463</v>
      </c>
      <c r="AA50" s="1517">
        <f>+'Plan de Accion apoyo transversa'!BS31</f>
        <v>0.45684264354796611</v>
      </c>
      <c r="AB50" s="1517">
        <f t="shared" si="45"/>
        <v>0.45684264354796611</v>
      </c>
      <c r="AC50" s="1519">
        <f t="shared" si="48"/>
        <v>0.45684264354796611</v>
      </c>
      <c r="AD50" s="213"/>
      <c r="AE50" s="1490">
        <f>+'Plan de Accion apoyo transversa'!CA31</f>
        <v>1.1339399566472819</v>
      </c>
      <c r="AF50" s="1484">
        <f>+'Plan de Accion apoyo transversa'!CL31</f>
        <v>1.1339399566472819</v>
      </c>
      <c r="AG50" s="1484">
        <f t="shared" si="49"/>
        <v>1</v>
      </c>
      <c r="AH50" s="1484">
        <f>+'Plan de Accion apoyo transversa'!CC31</f>
        <v>0.74032763270978663</v>
      </c>
      <c r="AI50" s="1486">
        <f t="shared" si="46"/>
        <v>0.74032763270978663</v>
      </c>
      <c r="AJ50" s="232"/>
      <c r="AL50" s="207"/>
      <c r="AM50" s="207"/>
      <c r="AN50" s="204"/>
      <c r="AO50" s="208"/>
      <c r="AP50" s="207"/>
      <c r="AQ50" s="204"/>
      <c r="AR50" s="207"/>
      <c r="AS50" s="207"/>
      <c r="AT50" s="204"/>
      <c r="AU50" s="207"/>
      <c r="AV50" s="207"/>
      <c r="AW50" s="202"/>
      <c r="AX50" s="229"/>
      <c r="AZ50" s="207"/>
      <c r="BA50" s="207"/>
      <c r="BB50" s="204"/>
      <c r="BC50" s="208"/>
      <c r="BD50" s="207"/>
      <c r="BE50" s="204"/>
      <c r="BF50" s="207"/>
      <c r="BG50" s="207"/>
      <c r="BH50" s="204"/>
      <c r="BI50" s="207"/>
      <c r="BJ50" s="207"/>
      <c r="BK50" s="202"/>
      <c r="BL50" s="229"/>
      <c r="BN50" s="207"/>
      <c r="BO50" s="207"/>
      <c r="BP50" s="204"/>
      <c r="BQ50" s="208"/>
      <c r="BR50" s="207"/>
      <c r="BS50" s="204"/>
      <c r="BT50" s="207"/>
      <c r="BU50" s="207"/>
      <c r="BV50" s="204"/>
      <c r="BW50" s="207"/>
      <c r="BX50" s="207"/>
      <c r="BY50" s="202"/>
      <c r="BZ50" s="229"/>
      <c r="CB50" s="207"/>
      <c r="CC50" s="207"/>
      <c r="CD50" s="204"/>
      <c r="CE50" s="208"/>
      <c r="CF50" s="207"/>
      <c r="CG50" s="204"/>
      <c r="CH50" s="207"/>
      <c r="CI50" s="207"/>
      <c r="CJ50" s="204"/>
      <c r="CK50" s="207"/>
      <c r="CL50" s="207"/>
      <c r="CM50" s="202"/>
      <c r="CN50" s="229"/>
    </row>
    <row r="51" spans="2:92" ht="28.5" x14ac:dyDescent="0.2">
      <c r="B51" s="1586"/>
      <c r="C51" s="1471"/>
      <c r="D51" s="1437"/>
      <c r="E51" s="1440"/>
      <c r="F51" s="1443"/>
      <c r="G51" s="315" t="str">
        <f>+'Plan de Accion apoyo transversa'!X32</f>
        <v>Respuestas a solicitudes de pruebas</v>
      </c>
      <c r="H51" s="1547"/>
      <c r="I51" s="204"/>
      <c r="J51" s="1491"/>
      <c r="K51" s="1448"/>
      <c r="L51" s="1448"/>
      <c r="M51" s="1448"/>
      <c r="N51" s="1448"/>
      <c r="O51" s="1448"/>
      <c r="P51" s="213"/>
      <c r="Q51" s="1491"/>
      <c r="R51" s="1513"/>
      <c r="S51" s="1513"/>
      <c r="T51" s="1513"/>
      <c r="U51" s="1513"/>
      <c r="V51" s="1512"/>
      <c r="W51" s="213"/>
      <c r="X51" s="1491"/>
      <c r="Y51" s="1513"/>
      <c r="Z51" s="1513"/>
      <c r="AA51" s="1522"/>
      <c r="AB51" s="1522"/>
      <c r="AC51" s="1521"/>
      <c r="AD51" s="213"/>
      <c r="AE51" s="1491"/>
      <c r="AF51" s="1513"/>
      <c r="AG51" s="1513"/>
      <c r="AH51" s="1513"/>
      <c r="AI51" s="1512"/>
      <c r="AJ51" s="230"/>
      <c r="AK51" s="1165">
        <v>1</v>
      </c>
      <c r="AL51" s="207"/>
      <c r="AM51" s="207"/>
      <c r="AN51" s="204"/>
      <c r="AO51" s="208"/>
      <c r="AP51" s="207"/>
      <c r="AQ51" s="204"/>
      <c r="AR51" s="207"/>
      <c r="AS51" s="207"/>
      <c r="AT51" s="204"/>
      <c r="AU51" s="207"/>
      <c r="AV51" s="207"/>
      <c r="AW51" s="202"/>
      <c r="AX51" s="229"/>
      <c r="AZ51" s="207"/>
      <c r="BA51" s="207"/>
      <c r="BB51" s="204"/>
      <c r="BC51" s="208"/>
      <c r="BD51" s="207"/>
      <c r="BE51" s="204"/>
      <c r="BF51" s="207"/>
      <c r="BG51" s="207"/>
      <c r="BH51" s="204"/>
      <c r="BI51" s="207"/>
      <c r="BJ51" s="207"/>
      <c r="BK51" s="202"/>
      <c r="BL51" s="229"/>
      <c r="BN51" s="207"/>
      <c r="BO51" s="207"/>
      <c r="BP51" s="204"/>
      <c r="BQ51" s="208"/>
      <c r="BR51" s="207"/>
      <c r="BS51" s="204"/>
      <c r="BT51" s="207"/>
      <c r="BU51" s="207"/>
      <c r="BV51" s="204"/>
      <c r="BW51" s="207"/>
      <c r="BX51" s="207"/>
      <c r="BY51" s="202"/>
      <c r="BZ51" s="229"/>
      <c r="CB51" s="207"/>
      <c r="CC51" s="207"/>
      <c r="CD51" s="204"/>
      <c r="CE51" s="208"/>
      <c r="CF51" s="207"/>
      <c r="CG51" s="204"/>
      <c r="CH51" s="207"/>
      <c r="CI51" s="207"/>
      <c r="CJ51" s="204"/>
      <c r="CK51" s="207"/>
      <c r="CL51" s="207"/>
      <c r="CM51" s="202"/>
      <c r="CN51" s="229"/>
    </row>
    <row r="52" spans="2:92" ht="15.75" thickBot="1" x14ac:dyDescent="0.25">
      <c r="B52" s="1586"/>
      <c r="C52" s="1471"/>
      <c r="D52" s="1437"/>
      <c r="E52" s="1440"/>
      <c r="F52" s="1443"/>
      <c r="G52" s="315" t="str">
        <f>+'Plan de Accion apoyo transversa'!X33</f>
        <v xml:space="preserve">Fichas técnicas  </v>
      </c>
      <c r="H52" s="1547"/>
      <c r="I52" s="204"/>
      <c r="J52" s="1491"/>
      <c r="K52" s="1448"/>
      <c r="L52" s="1448"/>
      <c r="M52" s="1448"/>
      <c r="N52" s="1448"/>
      <c r="O52" s="1448"/>
      <c r="P52" s="213"/>
      <c r="Q52" s="1491"/>
      <c r="R52" s="1513"/>
      <c r="S52" s="1513"/>
      <c r="T52" s="1513"/>
      <c r="U52" s="1513"/>
      <c r="V52" s="1512"/>
      <c r="W52" s="213"/>
      <c r="X52" s="1491"/>
      <c r="Y52" s="1513"/>
      <c r="Z52" s="1513"/>
      <c r="AA52" s="1522"/>
      <c r="AB52" s="1522"/>
      <c r="AC52" s="1521"/>
      <c r="AD52" s="213"/>
      <c r="AE52" s="1491"/>
      <c r="AF52" s="1513"/>
      <c r="AG52" s="1513"/>
      <c r="AH52" s="1513"/>
      <c r="AI52" s="1512"/>
      <c r="AJ52" s="228"/>
      <c r="AL52" s="207"/>
      <c r="AM52" s="207"/>
      <c r="AN52" s="204"/>
      <c r="AO52" s="208"/>
      <c r="AP52" s="207"/>
      <c r="AQ52" s="204"/>
      <c r="AR52" s="207"/>
      <c r="AS52" s="207"/>
      <c r="AT52" s="204"/>
      <c r="AU52" s="207"/>
      <c r="AV52" s="207"/>
      <c r="AW52" s="202"/>
      <c r="AX52" s="229"/>
      <c r="AZ52" s="207"/>
      <c r="BA52" s="207"/>
      <c r="BB52" s="204"/>
      <c r="BC52" s="208"/>
      <c r="BD52" s="207"/>
      <c r="BE52" s="204"/>
      <c r="BF52" s="207"/>
      <c r="BG52" s="207"/>
      <c r="BH52" s="204"/>
      <c r="BI52" s="207"/>
      <c r="BJ52" s="207"/>
      <c r="BK52" s="202"/>
      <c r="BL52" s="229"/>
      <c r="BN52" s="207"/>
      <c r="BO52" s="207"/>
      <c r="BP52" s="204"/>
      <c r="BQ52" s="208"/>
      <c r="BR52" s="207"/>
      <c r="BS52" s="204"/>
      <c r="BT52" s="207"/>
      <c r="BU52" s="207"/>
      <c r="BV52" s="204"/>
      <c r="BW52" s="207"/>
      <c r="BX52" s="207"/>
      <c r="BY52" s="202"/>
      <c r="BZ52" s="229"/>
      <c r="CB52" s="207"/>
      <c r="CC52" s="207"/>
      <c r="CD52" s="204"/>
      <c r="CE52" s="208"/>
      <c r="CF52" s="207"/>
      <c r="CG52" s="204"/>
      <c r="CH52" s="207"/>
      <c r="CI52" s="207"/>
      <c r="CJ52" s="204"/>
      <c r="CK52" s="207"/>
      <c r="CL52" s="207"/>
      <c r="CM52" s="202"/>
      <c r="CN52" s="229"/>
    </row>
    <row r="53" spans="2:92" ht="15" x14ac:dyDescent="0.2">
      <c r="B53" s="1586"/>
      <c r="C53" s="1471"/>
      <c r="D53" s="1437"/>
      <c r="E53" s="1440"/>
      <c r="F53" s="1443"/>
      <c r="G53" s="315" t="str">
        <f>+'Plan de Accion apoyo transversa'!X34</f>
        <v xml:space="preserve">Fichas técnicas demandas </v>
      </c>
      <c r="H53" s="1547"/>
      <c r="I53" s="204"/>
      <c r="J53" s="1492"/>
      <c r="K53" s="1449"/>
      <c r="L53" s="1449"/>
      <c r="M53" s="1449"/>
      <c r="N53" s="1449"/>
      <c r="O53" s="1449"/>
      <c r="P53" s="213"/>
      <c r="Q53" s="1492"/>
      <c r="R53" s="1485"/>
      <c r="S53" s="1485"/>
      <c r="T53" s="1485"/>
      <c r="U53" s="1485"/>
      <c r="V53" s="1487"/>
      <c r="W53" s="213"/>
      <c r="X53" s="1492"/>
      <c r="Y53" s="1485"/>
      <c r="Z53" s="1485"/>
      <c r="AA53" s="1518"/>
      <c r="AB53" s="1518"/>
      <c r="AC53" s="1520"/>
      <c r="AD53" s="213"/>
      <c r="AE53" s="1492"/>
      <c r="AF53" s="1485"/>
      <c r="AG53" s="1485"/>
      <c r="AH53" s="1485"/>
      <c r="AI53" s="1487"/>
      <c r="AJ53" s="232"/>
      <c r="AL53" s="207"/>
      <c r="AM53" s="207"/>
      <c r="AN53" s="204"/>
      <c r="AO53" s="208"/>
      <c r="AP53" s="207"/>
      <c r="AQ53" s="204"/>
      <c r="AR53" s="207"/>
      <c r="AS53" s="207"/>
      <c r="AT53" s="204"/>
      <c r="AU53" s="207"/>
      <c r="AV53" s="207"/>
      <c r="AW53" s="202"/>
      <c r="AX53" s="229"/>
      <c r="AZ53" s="207"/>
      <c r="BA53" s="207"/>
      <c r="BB53" s="204"/>
      <c r="BC53" s="208"/>
      <c r="BD53" s="207"/>
      <c r="BE53" s="204"/>
      <c r="BF53" s="207"/>
      <c r="BG53" s="207"/>
      <c r="BH53" s="204"/>
      <c r="BI53" s="207"/>
      <c r="BJ53" s="207"/>
      <c r="BK53" s="202"/>
      <c r="BL53" s="229"/>
      <c r="BN53" s="207"/>
      <c r="BO53" s="207"/>
      <c r="BP53" s="204"/>
      <c r="BQ53" s="208"/>
      <c r="BR53" s="207"/>
      <c r="BS53" s="204"/>
      <c r="BT53" s="207"/>
      <c r="BU53" s="207"/>
      <c r="BV53" s="204"/>
      <c r="BW53" s="207"/>
      <c r="BX53" s="207"/>
      <c r="BY53" s="202"/>
      <c r="BZ53" s="229"/>
      <c r="CB53" s="207"/>
      <c r="CC53" s="207"/>
      <c r="CD53" s="204"/>
      <c r="CE53" s="208"/>
      <c r="CF53" s="207"/>
      <c r="CG53" s="204"/>
      <c r="CH53" s="207"/>
      <c r="CI53" s="207"/>
      <c r="CJ53" s="204"/>
      <c r="CK53" s="207"/>
      <c r="CL53" s="207"/>
      <c r="CM53" s="202"/>
      <c r="CN53" s="229"/>
    </row>
    <row r="54" spans="2:92" ht="42.75" x14ac:dyDescent="0.2">
      <c r="B54" s="1586"/>
      <c r="C54" s="1471"/>
      <c r="D54" s="1437"/>
      <c r="E54" s="1440"/>
      <c r="F54" s="1443"/>
      <c r="G54" s="315" t="str">
        <f>+'Plan de Accion apoyo transversa'!X35</f>
        <v>Recurrir los Actos Administrativos interpuestos por COLPENSIONES</v>
      </c>
      <c r="H54" s="1547"/>
      <c r="I54" s="204"/>
      <c r="J54" s="1490">
        <f>+'Plan de Accion apoyo transversa'!AW35</f>
        <v>0.73493975903614461</v>
      </c>
      <c r="K54" s="1447">
        <f>+'Plan de Accion apoyo transversa'!CF35</f>
        <v>0.73493975903614461</v>
      </c>
      <c r="L54" s="1447">
        <f>IF(K54&gt;100%,100%,K54)</f>
        <v>0.73493975903614461</v>
      </c>
      <c r="M54" s="1447">
        <f>+'Plan de Accion apoyo transversa'!AY35</f>
        <v>0.18373493975903615</v>
      </c>
      <c r="N54" s="1447">
        <f>IF(M54&gt;100%,100%,M54)</f>
        <v>0.18373493975903615</v>
      </c>
      <c r="O54" s="1447">
        <f>+N54</f>
        <v>0.18373493975903615</v>
      </c>
      <c r="P54" s="213"/>
      <c r="Q54" s="1490" t="s">
        <v>204</v>
      </c>
      <c r="R54" s="1484" t="s">
        <v>180</v>
      </c>
      <c r="S54" s="1484" t="s">
        <v>204</v>
      </c>
      <c r="T54" s="1484">
        <f>+'Plan de Accion apoyo transversa'!BI35</f>
        <v>0.18373493975903615</v>
      </c>
      <c r="U54" s="1484">
        <f t="shared" ref="U54" si="50">IF(T54&gt;100%,100%,T54)</f>
        <v>0.18373493975903615</v>
      </c>
      <c r="V54" s="1486">
        <f t="shared" ref="V54" si="51">+U54</f>
        <v>0.18373493975903615</v>
      </c>
      <c r="W54" s="213"/>
      <c r="X54" s="1490" t="s">
        <v>204</v>
      </c>
      <c r="Y54" s="1484" t="s">
        <v>180</v>
      </c>
      <c r="Z54" s="1484" t="s">
        <v>204</v>
      </c>
      <c r="AA54" s="1517">
        <f>+'Plan de Accion apoyo transversa'!BS35</f>
        <v>0.18373493975903615</v>
      </c>
      <c r="AB54" s="1517">
        <f t="shared" ref="AB54" si="52">IF(AA54&gt;100%,100%,AA54)</f>
        <v>0.18373493975903615</v>
      </c>
      <c r="AC54" s="1519">
        <f t="shared" ref="AC54" si="53">+AB54</f>
        <v>0.18373493975903615</v>
      </c>
      <c r="AD54" s="213"/>
      <c r="AE54" s="1490" t="s">
        <v>204</v>
      </c>
      <c r="AF54" s="1484" t="s">
        <v>180</v>
      </c>
      <c r="AG54" s="1484" t="s">
        <v>204</v>
      </c>
      <c r="AH54" s="1484">
        <f>+'Plan de Accion apoyo transversa'!CC35</f>
        <v>0.18373493975903615</v>
      </c>
      <c r="AI54" s="1486">
        <f t="shared" ref="AI54" si="54">IF(AH54&gt;100%,100%,AH54)</f>
        <v>0.18373493975903615</v>
      </c>
      <c r="AJ54" s="230"/>
      <c r="AL54" s="207"/>
      <c r="AM54" s="207"/>
      <c r="AN54" s="204"/>
      <c r="AO54" s="208"/>
      <c r="AP54" s="207"/>
      <c r="AQ54" s="204"/>
      <c r="AR54" s="207"/>
      <c r="AS54" s="207"/>
      <c r="AT54" s="204"/>
      <c r="AU54" s="207"/>
      <c r="AV54" s="207"/>
      <c r="AW54" s="202"/>
      <c r="AX54" s="229"/>
      <c r="AZ54" s="207"/>
      <c r="BA54" s="207"/>
      <c r="BB54" s="204"/>
      <c r="BC54" s="208"/>
      <c r="BD54" s="207"/>
      <c r="BE54" s="204"/>
      <c r="BF54" s="207"/>
      <c r="BG54" s="207"/>
      <c r="BH54" s="204"/>
      <c r="BI54" s="207"/>
      <c r="BJ54" s="207"/>
      <c r="BK54" s="202"/>
      <c r="BL54" s="229"/>
      <c r="BN54" s="207"/>
      <c r="BO54" s="207"/>
      <c r="BP54" s="204"/>
      <c r="BQ54" s="208"/>
      <c r="BR54" s="207"/>
      <c r="BS54" s="204"/>
      <c r="BT54" s="207"/>
      <c r="BU54" s="207"/>
      <c r="BV54" s="204"/>
      <c r="BW54" s="207"/>
      <c r="BX54" s="207"/>
      <c r="BY54" s="202"/>
      <c r="BZ54" s="229"/>
      <c r="CB54" s="207"/>
      <c r="CC54" s="207"/>
      <c r="CD54" s="204"/>
      <c r="CE54" s="208"/>
      <c r="CF54" s="207"/>
      <c r="CG54" s="204"/>
      <c r="CH54" s="207"/>
      <c r="CI54" s="207"/>
      <c r="CJ54" s="204"/>
      <c r="CK54" s="207"/>
      <c r="CL54" s="207"/>
      <c r="CM54" s="202"/>
      <c r="CN54" s="229"/>
    </row>
    <row r="55" spans="2:92" ht="15.75" thickBot="1" x14ac:dyDescent="0.25">
      <c r="B55" s="1586"/>
      <c r="C55" s="1471"/>
      <c r="D55" s="1437"/>
      <c r="E55" s="1440"/>
      <c r="F55" s="1443"/>
      <c r="G55" s="315" t="str">
        <f>+'Plan de Accion apoyo transversa'!X36</f>
        <v>Respuestas a reclamaciones</v>
      </c>
      <c r="H55" s="1547"/>
      <c r="I55" s="204"/>
      <c r="J55" s="1492"/>
      <c r="K55" s="1449"/>
      <c r="L55" s="1449"/>
      <c r="M55" s="1449"/>
      <c r="N55" s="1449"/>
      <c r="O55" s="1449"/>
      <c r="P55" s="213"/>
      <c r="Q55" s="1492"/>
      <c r="R55" s="1485"/>
      <c r="S55" s="1485"/>
      <c r="T55" s="1485"/>
      <c r="U55" s="1485"/>
      <c r="V55" s="1487"/>
      <c r="W55" s="213"/>
      <c r="X55" s="1492"/>
      <c r="Y55" s="1485"/>
      <c r="Z55" s="1485"/>
      <c r="AA55" s="1518"/>
      <c r="AB55" s="1518"/>
      <c r="AC55" s="1520"/>
      <c r="AD55" s="213"/>
      <c r="AE55" s="1492"/>
      <c r="AF55" s="1485"/>
      <c r="AG55" s="1485"/>
      <c r="AH55" s="1485"/>
      <c r="AI55" s="1487"/>
      <c r="AJ55" s="228"/>
      <c r="AL55" s="207"/>
      <c r="AM55" s="207"/>
      <c r="AN55" s="204"/>
      <c r="AO55" s="208"/>
      <c r="AP55" s="207"/>
      <c r="AQ55" s="204"/>
      <c r="AR55" s="207"/>
      <c r="AS55" s="207"/>
      <c r="AT55" s="204"/>
      <c r="AU55" s="207"/>
      <c r="AV55" s="207"/>
      <c r="AW55" s="202"/>
      <c r="AX55" s="229"/>
      <c r="AZ55" s="207"/>
      <c r="BA55" s="207"/>
      <c r="BB55" s="204"/>
      <c r="BC55" s="208"/>
      <c r="BD55" s="207"/>
      <c r="BE55" s="204"/>
      <c r="BF55" s="207"/>
      <c r="BG55" s="207"/>
      <c r="BH55" s="204"/>
      <c r="BI55" s="207"/>
      <c r="BJ55" s="207"/>
      <c r="BK55" s="202"/>
      <c r="BL55" s="229"/>
      <c r="BN55" s="207"/>
      <c r="BO55" s="207"/>
      <c r="BP55" s="204"/>
      <c r="BQ55" s="208"/>
      <c r="BR55" s="207"/>
      <c r="BS55" s="204"/>
      <c r="BT55" s="207"/>
      <c r="BU55" s="207"/>
      <c r="BV55" s="204"/>
      <c r="BW55" s="207"/>
      <c r="BX55" s="207"/>
      <c r="BY55" s="202"/>
      <c r="BZ55" s="229"/>
      <c r="CB55" s="207"/>
      <c r="CC55" s="207"/>
      <c r="CD55" s="204"/>
      <c r="CE55" s="208"/>
      <c r="CF55" s="207"/>
      <c r="CG55" s="204"/>
      <c r="CH55" s="207"/>
      <c r="CI55" s="207"/>
      <c r="CJ55" s="204"/>
      <c r="CK55" s="207"/>
      <c r="CL55" s="207"/>
      <c r="CM55" s="202"/>
      <c r="CN55" s="229"/>
    </row>
    <row r="56" spans="2:92" ht="44.25" customHeight="1" x14ac:dyDescent="0.2">
      <c r="B56" s="1586"/>
      <c r="C56" s="1471"/>
      <c r="D56" s="1437"/>
      <c r="E56" s="1440"/>
      <c r="F56" s="1443"/>
      <c r="G56" s="663" t="str">
        <f>+'Plan de Accion apoyo transversa'!X37</f>
        <v>Actas del Comité de Conciliación debidamente firmadas</v>
      </c>
      <c r="H56" s="1547"/>
      <c r="I56" s="204"/>
      <c r="J56" s="214">
        <f>+'Plan de Accion apoyo transversa'!AW37</f>
        <v>0.5444444444444444</v>
      </c>
      <c r="K56" s="650">
        <f>+'Plan de Accion apoyo transversa'!CF37</f>
        <v>0.5444444444444444</v>
      </c>
      <c r="L56" s="650">
        <f>IF(K56&gt;100%,100%,K56)</f>
        <v>0.5444444444444444</v>
      </c>
      <c r="M56" s="650">
        <f>+'Plan de Accion apoyo transversa'!AY37</f>
        <v>0.5444444444444444</v>
      </c>
      <c r="N56" s="650">
        <f>IF(M56&gt;100%,100%,M56)</f>
        <v>0.5444444444444444</v>
      </c>
      <c r="O56" s="650">
        <f>+N56</f>
        <v>0.5444444444444444</v>
      </c>
      <c r="P56" s="213"/>
      <c r="Q56" s="214" t="e">
        <f>+'Plan de Accion apoyo transversa'!BG37</f>
        <v>#DIV/0!</v>
      </c>
      <c r="R56" s="248" t="s">
        <v>180</v>
      </c>
      <c r="S56" s="212" t="s">
        <v>204</v>
      </c>
      <c r="T56" s="650">
        <f>+'Plan de Accion apoyo transversa'!BI37</f>
        <v>0.5444444444444444</v>
      </c>
      <c r="U56" s="650">
        <f t="shared" ref="U56" si="55">IF(T56&gt;100%,100%,T56)</f>
        <v>0.5444444444444444</v>
      </c>
      <c r="V56" s="211">
        <f>+U56</f>
        <v>0.5444444444444444</v>
      </c>
      <c r="W56" s="213"/>
      <c r="X56" s="214" t="e">
        <f>+'Plan de Accion apoyo transversa'!BQ37</f>
        <v>#DIV/0!</v>
      </c>
      <c r="Y56" s="248" t="s">
        <v>180</v>
      </c>
      <c r="Z56" s="212" t="s">
        <v>204</v>
      </c>
      <c r="AA56" s="217">
        <f>+'Plan de Accion apoyo transversa'!BS37</f>
        <v>0.5444444444444444</v>
      </c>
      <c r="AB56" s="217">
        <f t="shared" ref="AB56" si="56">IF(AA56&gt;100%,100%,AA56)</f>
        <v>0.5444444444444444</v>
      </c>
      <c r="AC56" s="652">
        <f t="shared" ref="AC56" si="57">+AB56</f>
        <v>0.5444444444444444</v>
      </c>
      <c r="AD56" s="213"/>
      <c r="AE56" s="214" t="e">
        <f>+'Plan de Accion apoyo transversa'!CA37</f>
        <v>#DIV/0!</v>
      </c>
      <c r="AF56" s="248" t="s">
        <v>180</v>
      </c>
      <c r="AG56" s="212" t="s">
        <v>204</v>
      </c>
      <c r="AH56" s="248">
        <f>+'Plan de Accion apoyo transversa'!CC37</f>
        <v>0.5444444444444444</v>
      </c>
      <c r="AI56" s="211">
        <f t="shared" ref="AI56" si="58">IF(AH56&gt;100%,100%,AH56)</f>
        <v>0.5444444444444444</v>
      </c>
      <c r="AJ56" s="230"/>
      <c r="AL56" s="656"/>
      <c r="AM56" s="656"/>
      <c r="AN56" s="204"/>
      <c r="AO56" s="657"/>
      <c r="AP56" s="656"/>
      <c r="AQ56" s="204"/>
      <c r="AR56" s="656"/>
      <c r="AS56" s="656"/>
      <c r="AT56" s="204"/>
      <c r="AU56" s="656"/>
      <c r="AV56" s="656"/>
      <c r="AW56" s="202"/>
      <c r="AX56" s="229"/>
      <c r="AZ56" s="656"/>
      <c r="BA56" s="656"/>
      <c r="BB56" s="204"/>
      <c r="BC56" s="657"/>
      <c r="BD56" s="656"/>
      <c r="BE56" s="204"/>
      <c r="BF56" s="656"/>
      <c r="BG56" s="656"/>
      <c r="BH56" s="204"/>
      <c r="BI56" s="656"/>
      <c r="BJ56" s="656"/>
      <c r="BK56" s="202"/>
      <c r="BL56" s="229"/>
      <c r="BN56" s="656"/>
      <c r="BO56" s="656"/>
      <c r="BP56" s="204"/>
      <c r="BQ56" s="657"/>
      <c r="BR56" s="656"/>
      <c r="BS56" s="204"/>
      <c r="BT56" s="656"/>
      <c r="BU56" s="656"/>
      <c r="BV56" s="204"/>
      <c r="BW56" s="656"/>
      <c r="BX56" s="656"/>
      <c r="BY56" s="202"/>
      <c r="BZ56" s="229"/>
      <c r="CB56" s="656"/>
      <c r="CC56" s="656"/>
      <c r="CD56" s="204"/>
      <c r="CE56" s="657"/>
      <c r="CF56" s="656"/>
      <c r="CG56" s="204"/>
      <c r="CH56" s="656"/>
      <c r="CI56" s="656"/>
      <c r="CJ56" s="204"/>
      <c r="CK56" s="656"/>
      <c r="CL56" s="656"/>
      <c r="CM56" s="202"/>
      <c r="CN56" s="229"/>
    </row>
    <row r="57" spans="2:92" ht="15" x14ac:dyDescent="0.2">
      <c r="B57" s="1586"/>
      <c r="C57" s="1471"/>
      <c r="D57" s="1437"/>
      <c r="E57" s="1440"/>
      <c r="F57" s="1443"/>
      <c r="G57" s="315" t="str">
        <f>+'Plan de Accion apoyo transversa'!X39</f>
        <v xml:space="preserve">Reparto </v>
      </c>
      <c r="H57" s="1547"/>
      <c r="I57" s="204"/>
      <c r="J57" s="1490">
        <f>+'Plan de Accion apoyo transversa'!AW39</f>
        <v>0.66666651903143614</v>
      </c>
      <c r="K57" s="1447">
        <f>+'Plan de Accion apoyo transversa'!CF39</f>
        <v>0.66666651903143614</v>
      </c>
      <c r="L57" s="1447">
        <f>IF(K57&gt;100%,100%,K57)</f>
        <v>0.66666651903143614</v>
      </c>
      <c r="M57" s="1447">
        <f>+'Plan de Accion apoyo transversa'!AY39</f>
        <v>0.16666662975785904</v>
      </c>
      <c r="N57" s="1447">
        <f>IF(M57&gt;100%,100%,M57)</f>
        <v>0.16666662975785904</v>
      </c>
      <c r="O57" s="1447">
        <f>+N57</f>
        <v>0.16666662975785904</v>
      </c>
      <c r="P57" s="213"/>
      <c r="Q57" s="1490">
        <f>+'Plan de Accion apoyo transversa'!BG39</f>
        <v>1.090909050644937</v>
      </c>
      <c r="R57" s="1484">
        <f>+'Plan de Accion apoyo transversa'!CH39</f>
        <v>1.090909050644937</v>
      </c>
      <c r="S57" s="1484">
        <f>IF(R57&gt;100%,100%,R57)</f>
        <v>1</v>
      </c>
      <c r="T57" s="1484">
        <f>+'Plan de Accion apoyo transversa'!BI39</f>
        <v>0.43939389241909332</v>
      </c>
      <c r="U57" s="1484">
        <f t="shared" si="44"/>
        <v>0.43939389241909332</v>
      </c>
      <c r="V57" s="1486">
        <f>+U57</f>
        <v>0.43939389241909332</v>
      </c>
      <c r="W57" s="213">
        <v>1</v>
      </c>
      <c r="X57" s="1490">
        <f>+'Plan de Accion apoyo transversa'!BQ39</f>
        <v>1.090909050644937</v>
      </c>
      <c r="Y57" s="1484">
        <f>+'Plan de Accion apoyo transversa'!CJ39</f>
        <v>1.090909050644937</v>
      </c>
      <c r="Z57" s="1484">
        <f>IF(Y57&gt;100%,100%,Y57)</f>
        <v>1</v>
      </c>
      <c r="AA57" s="1517">
        <f>+'Plan de Accion apoyo transversa'!BS39</f>
        <v>0.71212115508032758</v>
      </c>
      <c r="AB57" s="1517">
        <f t="shared" si="45"/>
        <v>0.71212115508032758</v>
      </c>
      <c r="AC57" s="1519">
        <f>+AB57</f>
        <v>0.71212115508032758</v>
      </c>
      <c r="AD57" s="213">
        <v>1</v>
      </c>
      <c r="AE57" s="1490">
        <f>+'Plan de Accion apoyo transversa'!CA39</f>
        <v>1.090909050644937</v>
      </c>
      <c r="AF57" s="1484">
        <f>+'Plan de Accion apoyo transversa'!CL39</f>
        <v>1.090909050644937</v>
      </c>
      <c r="AG57" s="1484">
        <f t="shared" si="49"/>
        <v>1</v>
      </c>
      <c r="AH57" s="1484">
        <f>+'Plan de Accion apoyo transversa'!CC39</f>
        <v>0.98484841774156184</v>
      </c>
      <c r="AI57" s="1486">
        <f t="shared" si="46"/>
        <v>0.98484841774156184</v>
      </c>
      <c r="AJ57" s="230"/>
      <c r="AK57" s="1165">
        <v>1</v>
      </c>
      <c r="AL57" s="207"/>
      <c r="AM57" s="207"/>
      <c r="AN57" s="204"/>
      <c r="AO57" s="208"/>
      <c r="AP57" s="207"/>
      <c r="AQ57" s="204"/>
      <c r="AR57" s="207"/>
      <c r="AS57" s="207"/>
      <c r="AT57" s="204"/>
      <c r="AU57" s="207"/>
      <c r="AV57" s="207"/>
      <c r="AW57" s="202"/>
      <c r="AX57" s="229"/>
      <c r="AZ57" s="207"/>
      <c r="BA57" s="207"/>
      <c r="BB57" s="204"/>
      <c r="BC57" s="208"/>
      <c r="BD57" s="207"/>
      <c r="BE57" s="204"/>
      <c r="BF57" s="207"/>
      <c r="BG57" s="207"/>
      <c r="BH57" s="204"/>
      <c r="BI57" s="207"/>
      <c r="BJ57" s="207"/>
      <c r="BK57" s="202"/>
      <c r="BL57" s="229"/>
      <c r="BN57" s="207"/>
      <c r="BO57" s="207"/>
      <c r="BP57" s="204"/>
      <c r="BQ57" s="208"/>
      <c r="BR57" s="207"/>
      <c r="BS57" s="204"/>
      <c r="BT57" s="207"/>
      <c r="BU57" s="207"/>
      <c r="BV57" s="204"/>
      <c r="BW57" s="207"/>
      <c r="BX57" s="207"/>
      <c r="BY57" s="202"/>
      <c r="BZ57" s="229"/>
      <c r="CB57" s="207"/>
      <c r="CC57" s="207"/>
      <c r="CD57" s="204"/>
      <c r="CE57" s="208"/>
      <c r="CF57" s="207"/>
      <c r="CG57" s="204"/>
      <c r="CH57" s="207"/>
      <c r="CI57" s="207"/>
      <c r="CJ57" s="204"/>
      <c r="CK57" s="207"/>
      <c r="CL57" s="207"/>
      <c r="CM57" s="202"/>
      <c r="CN57" s="229"/>
    </row>
    <row r="58" spans="2:92" ht="15.75" thickBot="1" x14ac:dyDescent="0.25">
      <c r="B58" s="1586"/>
      <c r="C58" s="1471"/>
      <c r="D58" s="1437"/>
      <c r="E58" s="1440"/>
      <c r="F58" s="1443"/>
      <c r="G58" s="315" t="str">
        <f>+'Plan de Accion apoyo transversa'!X40</f>
        <v>Poderes</v>
      </c>
      <c r="H58" s="1547"/>
      <c r="I58" s="204"/>
      <c r="J58" s="1492"/>
      <c r="K58" s="1449"/>
      <c r="L58" s="1449"/>
      <c r="M58" s="1449"/>
      <c r="N58" s="1449"/>
      <c r="O58" s="1449"/>
      <c r="P58" s="213"/>
      <c r="Q58" s="1492"/>
      <c r="R58" s="1485"/>
      <c r="S58" s="1485"/>
      <c r="T58" s="1485"/>
      <c r="U58" s="1485"/>
      <c r="V58" s="1487"/>
      <c r="W58" s="213"/>
      <c r="X58" s="1492"/>
      <c r="Y58" s="1485"/>
      <c r="Z58" s="1485"/>
      <c r="AA58" s="1518"/>
      <c r="AB58" s="1518"/>
      <c r="AC58" s="1520"/>
      <c r="AD58" s="213"/>
      <c r="AE58" s="1492"/>
      <c r="AF58" s="1485"/>
      <c r="AG58" s="1485"/>
      <c r="AH58" s="1485"/>
      <c r="AI58" s="1487"/>
      <c r="AJ58" s="228"/>
      <c r="AL58" s="207"/>
      <c r="AM58" s="207"/>
      <c r="AN58" s="204"/>
      <c r="AO58" s="208"/>
      <c r="AP58" s="207"/>
      <c r="AQ58" s="204"/>
      <c r="AR58" s="207"/>
      <c r="AS58" s="207"/>
      <c r="AT58" s="204"/>
      <c r="AU58" s="207"/>
      <c r="AV58" s="207"/>
      <c r="AW58" s="202"/>
      <c r="AX58" s="229"/>
      <c r="AZ58" s="207"/>
      <c r="BA58" s="207"/>
      <c r="BB58" s="204"/>
      <c r="BC58" s="208"/>
      <c r="BD58" s="207"/>
      <c r="BE58" s="204"/>
      <c r="BF58" s="207"/>
      <c r="BG58" s="207"/>
      <c r="BH58" s="204"/>
      <c r="BI58" s="207"/>
      <c r="BJ58" s="207"/>
      <c r="BK58" s="202"/>
      <c r="BL58" s="229"/>
      <c r="BN58" s="207"/>
      <c r="BO58" s="207"/>
      <c r="BP58" s="204"/>
      <c r="BQ58" s="208"/>
      <c r="BR58" s="207"/>
      <c r="BS58" s="204"/>
      <c r="BT58" s="207"/>
      <c r="BU58" s="207"/>
      <c r="BV58" s="204"/>
      <c r="BW58" s="207"/>
      <c r="BX58" s="207"/>
      <c r="BY58" s="202"/>
      <c r="BZ58" s="229"/>
      <c r="CB58" s="207"/>
      <c r="CC58" s="207"/>
      <c r="CD58" s="204"/>
      <c r="CE58" s="208"/>
      <c r="CF58" s="207"/>
      <c r="CG58" s="204"/>
      <c r="CH58" s="207"/>
      <c r="CI58" s="207"/>
      <c r="CJ58" s="204"/>
      <c r="CK58" s="207"/>
      <c r="CL58" s="207"/>
      <c r="CM58" s="202"/>
      <c r="CN58" s="229"/>
    </row>
    <row r="59" spans="2:92" ht="42.75" x14ac:dyDescent="0.2">
      <c r="B59" s="1586"/>
      <c r="C59" s="1460"/>
      <c r="D59" s="1438"/>
      <c r="E59" s="1441"/>
      <c r="F59" s="1443"/>
      <c r="G59" s="315" t="str">
        <f>+'Plan de Accion apoyo transversa'!X41</f>
        <v xml:space="preserve">Atender las solicitudes de informes derivadas de acciones constitucionales </v>
      </c>
      <c r="H59" s="1547"/>
      <c r="I59" s="204"/>
      <c r="J59" s="214">
        <f>+'Plan de Accion apoyo transversa'!AW41</f>
        <v>0.53506912734267342</v>
      </c>
      <c r="K59" s="476">
        <f>+'Plan de Accion apoyo transversa'!CF41</f>
        <v>0.53506912734267342</v>
      </c>
      <c r="L59" s="476">
        <f>IF(K59&gt;100%,100%,K59)</f>
        <v>0.53506912734267342</v>
      </c>
      <c r="M59" s="476">
        <f>+'Plan de Accion apoyo transversa'!AY41</f>
        <v>0.13376728183566836</v>
      </c>
      <c r="N59" s="476">
        <f>IF(M59&gt;100%,100%,M59)</f>
        <v>0.13376728183566836</v>
      </c>
      <c r="O59" s="476">
        <f>+N59</f>
        <v>0.13376728183566836</v>
      </c>
      <c r="P59" s="213"/>
      <c r="Q59" s="214">
        <f>+'Plan de Accion apoyo transversa'!BG41</f>
        <v>0.77922972435691573</v>
      </c>
      <c r="R59" s="248">
        <f>+'Plan de Accion apoyo transversa'!CH41</f>
        <v>0.77922972435691573</v>
      </c>
      <c r="S59" s="212">
        <f>IF(R59&gt;100%,100%,R59)</f>
        <v>0.77922972435691573</v>
      </c>
      <c r="T59" s="304">
        <f>+'Plan de Accion apoyo transversa'!BI41</f>
        <v>0.32857471292489732</v>
      </c>
      <c r="U59" s="304">
        <f t="shared" si="44"/>
        <v>0.32857471292489732</v>
      </c>
      <c r="V59" s="211">
        <f>+U59</f>
        <v>0.32857471292489732</v>
      </c>
      <c r="W59" s="213"/>
      <c r="X59" s="214">
        <f>+'Plan de Accion apoyo transversa'!BQ41</f>
        <v>0.89020562671983017</v>
      </c>
      <c r="Y59" s="248">
        <f>+'Plan de Accion apoyo transversa'!CJ41</f>
        <v>0.89020562671983017</v>
      </c>
      <c r="Z59" s="212">
        <f>IF(Y59&gt;100%,100%,Y59)</f>
        <v>0.89020562671983017</v>
      </c>
      <c r="AA59" s="217">
        <f>+'Plan de Accion apoyo transversa'!BS41</f>
        <v>0.5511261196048548</v>
      </c>
      <c r="AB59" s="217">
        <f t="shared" si="45"/>
        <v>0.5511261196048548</v>
      </c>
      <c r="AC59" s="302">
        <f>+AB59</f>
        <v>0.5511261196048548</v>
      </c>
      <c r="AD59" s="213"/>
      <c r="AE59" s="214">
        <f>+'Plan de Accion apoyo transversa'!CA41</f>
        <v>0.99707296088764996</v>
      </c>
      <c r="AF59" s="248">
        <f>+'Plan de Accion apoyo transversa'!CL41</f>
        <v>0.99707296088764996</v>
      </c>
      <c r="AG59" s="212">
        <f t="shared" si="49"/>
        <v>0.99707296088764996</v>
      </c>
      <c r="AH59" s="248">
        <f>+'Plan de Accion apoyo transversa'!CC41</f>
        <v>0.80039435982676732</v>
      </c>
      <c r="AI59" s="211">
        <f t="shared" si="46"/>
        <v>0.80039435982676732</v>
      </c>
      <c r="AJ59" s="232"/>
      <c r="AL59" s="207"/>
      <c r="AM59" s="207"/>
      <c r="AN59" s="204"/>
      <c r="AO59" s="208"/>
      <c r="AP59" s="207"/>
      <c r="AQ59" s="204"/>
      <c r="AR59" s="207"/>
      <c r="AS59" s="207"/>
      <c r="AT59" s="204"/>
      <c r="AU59" s="207"/>
      <c r="AV59" s="207"/>
      <c r="AW59" s="202"/>
      <c r="AX59" s="229"/>
      <c r="AZ59" s="207"/>
      <c r="BA59" s="207"/>
      <c r="BB59" s="204"/>
      <c r="BC59" s="208"/>
      <c r="BD59" s="207"/>
      <c r="BE59" s="204"/>
      <c r="BF59" s="207"/>
      <c r="BG59" s="207"/>
      <c r="BH59" s="204"/>
      <c r="BI59" s="207"/>
      <c r="BJ59" s="207"/>
      <c r="BK59" s="202"/>
      <c r="BL59" s="229"/>
      <c r="BN59" s="207"/>
      <c r="BO59" s="207"/>
      <c r="BP59" s="204"/>
      <c r="BQ59" s="208"/>
      <c r="BR59" s="207"/>
      <c r="BS59" s="204"/>
      <c r="BT59" s="207"/>
      <c r="BU59" s="207"/>
      <c r="BV59" s="204"/>
      <c r="BW59" s="207"/>
      <c r="BX59" s="207"/>
      <c r="BY59" s="202"/>
      <c r="BZ59" s="229"/>
      <c r="CB59" s="207"/>
      <c r="CC59" s="207"/>
      <c r="CD59" s="204"/>
      <c r="CE59" s="208"/>
      <c r="CF59" s="207"/>
      <c r="CG59" s="204"/>
      <c r="CH59" s="207"/>
      <c r="CI59" s="207"/>
      <c r="CJ59" s="204"/>
      <c r="CK59" s="207"/>
      <c r="CL59" s="207"/>
      <c r="CM59" s="202"/>
      <c r="CN59" s="229"/>
    </row>
    <row r="60" spans="2:92" ht="71.25" customHeight="1" x14ac:dyDescent="0.2">
      <c r="B60" s="1586"/>
      <c r="C60" s="1005"/>
      <c r="D60" s="1011"/>
      <c r="E60" s="1050" t="s">
        <v>1</v>
      </c>
      <c r="F60" s="1049" t="s">
        <v>330</v>
      </c>
      <c r="G60" s="1012" t="str">
        <f>+'Plan de Accion apoyo transversa'!X9</f>
        <v>Anexos técnicos para el diseño, desarrollo e implementación del sitio web de la ADRES.</v>
      </c>
      <c r="H60" s="1547"/>
      <c r="I60" s="204"/>
      <c r="J60" s="1004" t="e">
        <f>+'Plan de Accion apoyo transversa'!AW9</f>
        <v>#DIV/0!</v>
      </c>
      <c r="K60" s="1010" t="str">
        <f>+'Plan de Accion apoyo transversa'!CF9</f>
        <v>No Prog ni Ejec</v>
      </c>
      <c r="L60" s="1010" t="s">
        <v>204</v>
      </c>
      <c r="M60" s="1010" t="s">
        <v>204</v>
      </c>
      <c r="N60" s="1008" t="s">
        <v>204</v>
      </c>
      <c r="O60" s="1008" t="s">
        <v>204</v>
      </c>
      <c r="P60" s="213"/>
      <c r="Q60" s="1004">
        <f>+'Plan de Accion apoyo transversa'!BG9</f>
        <v>0</v>
      </c>
      <c r="R60" s="1007">
        <f>+'Plan de Accion apoyo transversa'!CH9</f>
        <v>0</v>
      </c>
      <c r="S60" s="212">
        <f>IF(R60&gt;100%,100%,R60)</f>
        <v>0</v>
      </c>
      <c r="T60" s="1010">
        <f>+'Plan de Accion apoyo transversa'!BI9</f>
        <v>0</v>
      </c>
      <c r="U60" s="1008">
        <f t="shared" ref="U60" si="59">IF(T60&gt;100%,100%,T60)</f>
        <v>0</v>
      </c>
      <c r="V60" s="211">
        <f>+U60</f>
        <v>0</v>
      </c>
      <c r="W60" s="213"/>
      <c r="X60" s="1004">
        <f>+'Plan de Accion apoyo transversa'!BQ9</f>
        <v>0</v>
      </c>
      <c r="Y60" s="1007">
        <f>+'Plan de Accion apoyo transversa'!CJ9</f>
        <v>0</v>
      </c>
      <c r="Z60" s="212">
        <f>IF(Y60&gt;100%,100%,Y60)</f>
        <v>0</v>
      </c>
      <c r="AA60" s="441">
        <f>+'Plan de Accion apoyo transversa'!BS9</f>
        <v>0</v>
      </c>
      <c r="AB60" s="217">
        <f t="shared" ref="AB60" si="60">IF(AA60&gt;100%,100%,AA60)</f>
        <v>0</v>
      </c>
      <c r="AC60" s="1009">
        <f>+AB60</f>
        <v>0</v>
      </c>
      <c r="AD60" s="213"/>
      <c r="AE60" s="1004" t="e">
        <f>+'Plan de Accion apoyo transversa'!CA9</f>
        <v>#DIV/0!</v>
      </c>
      <c r="AF60" s="248" t="s">
        <v>180</v>
      </c>
      <c r="AG60" s="212" t="s">
        <v>204</v>
      </c>
      <c r="AH60" s="248" t="s">
        <v>204</v>
      </c>
      <c r="AI60" s="211" t="s">
        <v>204</v>
      </c>
      <c r="AJ60" s="230"/>
      <c r="AL60" s="1013"/>
      <c r="AM60" s="1013"/>
      <c r="AN60" s="204"/>
      <c r="AO60" s="1014"/>
      <c r="AP60" s="1013"/>
      <c r="AQ60" s="204"/>
      <c r="AR60" s="1013"/>
      <c r="AS60" s="1013"/>
      <c r="AT60" s="204"/>
      <c r="AU60" s="1013"/>
      <c r="AV60" s="1013"/>
      <c r="AW60" s="202"/>
      <c r="AX60" s="229"/>
      <c r="AZ60" s="1013"/>
      <c r="BA60" s="1013"/>
      <c r="BB60" s="204"/>
      <c r="BC60" s="1014"/>
      <c r="BD60" s="1013"/>
      <c r="BE60" s="204"/>
      <c r="BF60" s="1013"/>
      <c r="BG60" s="1013"/>
      <c r="BH60" s="204"/>
      <c r="BI60" s="1013"/>
      <c r="BJ60" s="1013"/>
      <c r="BK60" s="202"/>
      <c r="BL60" s="229"/>
      <c r="BN60" s="1013"/>
      <c r="BO60" s="1013"/>
      <c r="BP60" s="204"/>
      <c r="BQ60" s="1014"/>
      <c r="BR60" s="1013"/>
      <c r="BS60" s="204"/>
      <c r="BT60" s="1013"/>
      <c r="BU60" s="1013"/>
      <c r="BV60" s="204"/>
      <c r="BW60" s="1013"/>
      <c r="BX60" s="1013"/>
      <c r="BY60" s="202"/>
      <c r="BZ60" s="229"/>
      <c r="CB60" s="1013"/>
      <c r="CC60" s="1013"/>
      <c r="CD60" s="204"/>
      <c r="CE60" s="1014"/>
      <c r="CF60" s="1013"/>
      <c r="CG60" s="204"/>
      <c r="CH60" s="1013"/>
      <c r="CI60" s="1013"/>
      <c r="CJ60" s="204"/>
      <c r="CK60" s="1013"/>
      <c r="CL60" s="1013"/>
      <c r="CM60" s="202"/>
      <c r="CN60" s="229"/>
    </row>
    <row r="61" spans="2:92" ht="72" thickBot="1" x14ac:dyDescent="0.25">
      <c r="B61" s="1586"/>
      <c r="C61" s="1471" t="s">
        <v>94</v>
      </c>
      <c r="D61" s="1497" t="s">
        <v>204</v>
      </c>
      <c r="E61" s="1440" t="s">
        <v>1</v>
      </c>
      <c r="F61" s="1554" t="s">
        <v>330</v>
      </c>
      <c r="G61" s="315" t="str">
        <f>+'Plan de Accion apoyo transversa'!X10</f>
        <v>Informe mensual de monitoreo de la actividad en redes sociales y medios de comunicación asociados a la ADRES.</v>
      </c>
      <c r="H61" s="1547"/>
      <c r="J61" s="1490">
        <f>+'Plan de Accion apoyo transversa'!AW10</f>
        <v>0.69999994733365734</v>
      </c>
      <c r="K61" s="1447">
        <f>+'Plan de Accion apoyo transversa'!CF10</f>
        <v>0.69999994733365734</v>
      </c>
      <c r="L61" s="1447">
        <f>IF(K61&gt;100%,100%,K61)</f>
        <v>0.69999994733365734</v>
      </c>
      <c r="M61" s="1447">
        <f>+'Plan de Accion apoyo transversa'!AY10</f>
        <v>0.17499998683341433</v>
      </c>
      <c r="N61" s="1447">
        <f>IF(M61&gt;100%,100%,M61)</f>
        <v>0.17499998683341433</v>
      </c>
      <c r="O61" s="1447">
        <f>+N61</f>
        <v>0.17499998683341433</v>
      </c>
      <c r="P61" s="213"/>
      <c r="Q61" s="1490">
        <f>+'Plan de Accion apoyo transversa'!BG10</f>
        <v>1</v>
      </c>
      <c r="R61" s="1484">
        <f>+'Plan de Accion apoyo transversa'!CH10</f>
        <v>1</v>
      </c>
      <c r="S61" s="1484">
        <f>IF(R61&gt;100%,100%,R61)</f>
        <v>1</v>
      </c>
      <c r="T61" s="1484">
        <f>+'Plan de Accion apoyo transversa'!BI10</f>
        <v>0.42499998683341433</v>
      </c>
      <c r="U61" s="1484">
        <f>IF(T61&gt;100%,100%,T61)</f>
        <v>0.42499998683341433</v>
      </c>
      <c r="V61" s="1486">
        <f>+U61</f>
        <v>0.42499998683341433</v>
      </c>
      <c r="W61" s="213"/>
      <c r="X61" s="1490">
        <f>+'Plan de Accion apoyo transversa'!BQ10</f>
        <v>1</v>
      </c>
      <c r="Y61" s="1484">
        <f>+'Plan de Accion apoyo transversa'!CJ10</f>
        <v>1</v>
      </c>
      <c r="Z61" s="1484">
        <f>IF(Y61&gt;100%,100%,Y61)</f>
        <v>1</v>
      </c>
      <c r="AA61" s="1517">
        <f>+'Plan de Accion apoyo transversa'!BS10</f>
        <v>0.67499998683341433</v>
      </c>
      <c r="AB61" s="1517">
        <f>IF(AA61&gt;100%,100%,AA61)</f>
        <v>0.67499998683341433</v>
      </c>
      <c r="AC61" s="1519">
        <f>+AB61</f>
        <v>0.67499998683341433</v>
      </c>
      <c r="AD61" s="213"/>
      <c r="AE61" s="1490">
        <f>+'Plan de Accion apoyo transversa'!CA10</f>
        <v>1</v>
      </c>
      <c r="AF61" s="1484">
        <f>+'Plan de Accion apoyo transversa'!CL10</f>
        <v>1</v>
      </c>
      <c r="AG61" s="1484">
        <f>IF(AF61&gt;100%,100%,AF61)</f>
        <v>1</v>
      </c>
      <c r="AH61" s="1484">
        <f>+'Plan de Accion apoyo transversa'!CC10</f>
        <v>0.92499998683341433</v>
      </c>
      <c r="AI61" s="1486">
        <f>IF(AH61&gt;100%,100%,AH61)</f>
        <v>0.92499998683341433</v>
      </c>
      <c r="AJ61" s="228"/>
      <c r="AL61" s="207"/>
      <c r="AM61" s="207"/>
      <c r="AN61" s="204"/>
      <c r="AO61" s="208"/>
      <c r="AP61" s="207"/>
      <c r="AQ61" s="204"/>
      <c r="AR61" s="207"/>
      <c r="AS61" s="207"/>
      <c r="AT61" s="204"/>
      <c r="AU61" s="207"/>
      <c r="AV61" s="207"/>
      <c r="AW61" s="202"/>
      <c r="AX61" s="229"/>
      <c r="AZ61" s="207"/>
      <c r="BA61" s="207"/>
      <c r="BB61" s="204"/>
      <c r="BC61" s="208"/>
      <c r="BD61" s="207"/>
      <c r="BE61" s="204"/>
      <c r="BF61" s="207"/>
      <c r="BG61" s="207"/>
      <c r="BH61" s="204"/>
      <c r="BI61" s="207"/>
      <c r="BJ61" s="207"/>
      <c r="BK61" s="202"/>
      <c r="BL61" s="229"/>
      <c r="BN61" s="207"/>
      <c r="BO61" s="207"/>
      <c r="BP61" s="204"/>
      <c r="BQ61" s="208"/>
      <c r="BR61" s="207"/>
      <c r="BS61" s="204"/>
      <c r="BT61" s="207"/>
      <c r="BU61" s="207"/>
      <c r="BV61" s="204"/>
      <c r="BW61" s="207"/>
      <c r="BX61" s="207"/>
      <c r="BY61" s="202"/>
      <c r="BZ61" s="229"/>
      <c r="CB61" s="207"/>
      <c r="CC61" s="207"/>
      <c r="CD61" s="204"/>
      <c r="CE61" s="208"/>
      <c r="CF61" s="207"/>
      <c r="CG61" s="204"/>
      <c r="CH61" s="207"/>
      <c r="CI61" s="207"/>
      <c r="CJ61" s="204"/>
      <c r="CK61" s="207"/>
      <c r="CL61" s="207"/>
      <c r="CM61" s="202"/>
      <c r="CN61" s="229"/>
    </row>
    <row r="62" spans="2:92" ht="15.75" thickBot="1" x14ac:dyDescent="0.25">
      <c r="B62" s="1586"/>
      <c r="C62" s="1471"/>
      <c r="D62" s="1497"/>
      <c r="E62" s="1440"/>
      <c r="F62" s="1554"/>
      <c r="G62" s="1439" t="str">
        <f>+'Plan de Accion apoyo transversa'!X11</f>
        <v>Correos electrónicos con el monitoreo de noticias</v>
      </c>
      <c r="H62" s="1547"/>
      <c r="J62" s="1491"/>
      <c r="K62" s="1448"/>
      <c r="L62" s="1448"/>
      <c r="M62" s="1448"/>
      <c r="N62" s="1448"/>
      <c r="O62" s="1448"/>
      <c r="P62" s="213"/>
      <c r="Q62" s="1491"/>
      <c r="R62" s="1513"/>
      <c r="S62" s="1513"/>
      <c r="T62" s="1513"/>
      <c r="U62" s="1513"/>
      <c r="V62" s="1512"/>
      <c r="W62" s="213"/>
      <c r="X62" s="1491"/>
      <c r="Y62" s="1513"/>
      <c r="Z62" s="1513"/>
      <c r="AA62" s="1522"/>
      <c r="AB62" s="1522"/>
      <c r="AC62" s="1521"/>
      <c r="AD62" s="213"/>
      <c r="AE62" s="1491"/>
      <c r="AF62" s="1513"/>
      <c r="AG62" s="1513"/>
      <c r="AH62" s="1513"/>
      <c r="AI62" s="1512"/>
      <c r="AJ62" s="228"/>
      <c r="AL62" s="208"/>
      <c r="AM62" s="234"/>
      <c r="AN62" s="204"/>
      <c r="AO62" s="208"/>
      <c r="AP62" s="234"/>
      <c r="AQ62" s="204"/>
      <c r="AR62" s="208"/>
      <c r="AS62" s="234"/>
      <c r="AT62" s="204"/>
      <c r="AU62" s="208"/>
      <c r="AV62" s="234"/>
      <c r="AW62" s="202"/>
      <c r="AX62" s="229"/>
      <c r="AZ62" s="208"/>
      <c r="BA62" s="234"/>
      <c r="BB62" s="204"/>
      <c r="BC62" s="208"/>
      <c r="BD62" s="234"/>
      <c r="BE62" s="204"/>
      <c r="BF62" s="208"/>
      <c r="BG62" s="234"/>
      <c r="BH62" s="204"/>
      <c r="BI62" s="208"/>
      <c r="BJ62" s="234"/>
      <c r="BK62" s="202"/>
      <c r="BL62" s="229"/>
      <c r="BN62" s="208"/>
      <c r="BO62" s="234"/>
      <c r="BP62" s="204"/>
      <c r="BQ62" s="208"/>
      <c r="BR62" s="234"/>
      <c r="BS62" s="204"/>
      <c r="BT62" s="208"/>
      <c r="BU62" s="234"/>
      <c r="BV62" s="204"/>
      <c r="BW62" s="208"/>
      <c r="BX62" s="234"/>
      <c r="BY62" s="202"/>
      <c r="BZ62" s="229"/>
      <c r="CB62" s="208"/>
      <c r="CC62" s="234"/>
      <c r="CD62" s="204"/>
      <c r="CE62" s="208"/>
      <c r="CF62" s="234"/>
      <c r="CG62" s="204"/>
      <c r="CH62" s="208"/>
      <c r="CI62" s="234"/>
      <c r="CJ62" s="204"/>
      <c r="CK62" s="208"/>
      <c r="CL62" s="234"/>
      <c r="CM62" s="202"/>
      <c r="CN62" s="229"/>
    </row>
    <row r="63" spans="2:92" ht="15.75" thickBot="1" x14ac:dyDescent="0.25">
      <c r="B63" s="1586"/>
      <c r="C63" s="1471"/>
      <c r="D63" s="1497"/>
      <c r="E63" s="1440"/>
      <c r="F63" s="1554"/>
      <c r="G63" s="1440"/>
      <c r="H63" s="1547"/>
      <c r="J63" s="1491"/>
      <c r="K63" s="1448"/>
      <c r="L63" s="1448"/>
      <c r="M63" s="1448"/>
      <c r="N63" s="1448"/>
      <c r="O63" s="1448"/>
      <c r="P63" s="213"/>
      <c r="Q63" s="1491"/>
      <c r="R63" s="1513"/>
      <c r="S63" s="1513"/>
      <c r="T63" s="1513"/>
      <c r="U63" s="1513"/>
      <c r="V63" s="1512"/>
      <c r="W63" s="213"/>
      <c r="X63" s="1491"/>
      <c r="Y63" s="1513"/>
      <c r="Z63" s="1513"/>
      <c r="AA63" s="1522"/>
      <c r="AB63" s="1522"/>
      <c r="AC63" s="1521"/>
      <c r="AD63" s="213"/>
      <c r="AE63" s="1491"/>
      <c r="AF63" s="1513"/>
      <c r="AG63" s="1513"/>
      <c r="AH63" s="1513"/>
      <c r="AI63" s="1512"/>
      <c r="AJ63" s="228"/>
      <c r="AL63" s="208"/>
      <c r="AM63" s="234"/>
      <c r="AN63" s="204"/>
      <c r="AO63" s="208"/>
      <c r="AP63" s="234"/>
      <c r="AQ63" s="204"/>
      <c r="AR63" s="208"/>
      <c r="AS63" s="234"/>
      <c r="AT63" s="204"/>
      <c r="AU63" s="208"/>
      <c r="AV63" s="234"/>
      <c r="AW63" s="202"/>
      <c r="AX63" s="229"/>
      <c r="AZ63" s="208"/>
      <c r="BA63" s="234"/>
      <c r="BB63" s="204"/>
      <c r="BC63" s="208"/>
      <c r="BD63" s="234"/>
      <c r="BE63" s="204"/>
      <c r="BF63" s="208"/>
      <c r="BG63" s="234"/>
      <c r="BH63" s="204"/>
      <c r="BI63" s="208"/>
      <c r="BJ63" s="234"/>
      <c r="BK63" s="202"/>
      <c r="BL63" s="229"/>
      <c r="BN63" s="208"/>
      <c r="BO63" s="234"/>
      <c r="BP63" s="204"/>
      <c r="BQ63" s="208"/>
      <c r="BR63" s="234"/>
      <c r="BS63" s="204"/>
      <c r="BT63" s="208"/>
      <c r="BU63" s="234"/>
      <c r="BV63" s="204"/>
      <c r="BW63" s="208"/>
      <c r="BX63" s="234"/>
      <c r="BY63" s="202"/>
      <c r="BZ63" s="229"/>
      <c r="CB63" s="208"/>
      <c r="CC63" s="234"/>
      <c r="CD63" s="204"/>
      <c r="CE63" s="208"/>
      <c r="CF63" s="234"/>
      <c r="CG63" s="204"/>
      <c r="CH63" s="208"/>
      <c r="CI63" s="234"/>
      <c r="CJ63" s="204"/>
      <c r="CK63" s="208"/>
      <c r="CL63" s="234"/>
      <c r="CM63" s="202"/>
      <c r="CN63" s="229"/>
    </row>
    <row r="64" spans="2:92" ht="15.75" thickBot="1" x14ac:dyDescent="0.25">
      <c r="B64" s="1586"/>
      <c r="C64" s="1471"/>
      <c r="D64" s="1497"/>
      <c r="E64" s="1440"/>
      <c r="F64" s="1554"/>
      <c r="G64" s="1441"/>
      <c r="H64" s="1547"/>
      <c r="J64" s="1492"/>
      <c r="K64" s="1449"/>
      <c r="L64" s="1449"/>
      <c r="M64" s="1449"/>
      <c r="N64" s="1449"/>
      <c r="O64" s="1449"/>
      <c r="P64" s="213"/>
      <c r="Q64" s="1492"/>
      <c r="R64" s="1485"/>
      <c r="S64" s="1485"/>
      <c r="T64" s="1485"/>
      <c r="U64" s="1485"/>
      <c r="V64" s="1487"/>
      <c r="W64" s="213"/>
      <c r="X64" s="1492"/>
      <c r="Y64" s="1485"/>
      <c r="Z64" s="1485"/>
      <c r="AA64" s="1518"/>
      <c r="AB64" s="1518"/>
      <c r="AC64" s="1520"/>
      <c r="AD64" s="213"/>
      <c r="AE64" s="1492"/>
      <c r="AF64" s="1485"/>
      <c r="AG64" s="1485"/>
      <c r="AH64" s="1485"/>
      <c r="AI64" s="1487"/>
      <c r="AJ64" s="228"/>
      <c r="AL64" s="208"/>
      <c r="AM64" s="234"/>
      <c r="AN64" s="204"/>
      <c r="AO64" s="208"/>
      <c r="AP64" s="234"/>
      <c r="AQ64" s="204"/>
      <c r="AR64" s="208"/>
      <c r="AS64" s="234"/>
      <c r="AT64" s="204"/>
      <c r="AU64" s="208"/>
      <c r="AV64" s="234"/>
      <c r="AW64" s="202"/>
      <c r="AX64" s="229"/>
      <c r="AZ64" s="208"/>
      <c r="BA64" s="234"/>
      <c r="BB64" s="204"/>
      <c r="BC64" s="208"/>
      <c r="BD64" s="234"/>
      <c r="BE64" s="204"/>
      <c r="BF64" s="208"/>
      <c r="BG64" s="234"/>
      <c r="BH64" s="204"/>
      <c r="BI64" s="208"/>
      <c r="BJ64" s="234"/>
      <c r="BK64" s="202"/>
      <c r="BL64" s="229"/>
      <c r="BN64" s="208"/>
      <c r="BO64" s="234"/>
      <c r="BP64" s="204"/>
      <c r="BQ64" s="208"/>
      <c r="BR64" s="234"/>
      <c r="BS64" s="204"/>
      <c r="BT64" s="208"/>
      <c r="BU64" s="234"/>
      <c r="BV64" s="204"/>
      <c r="BW64" s="208"/>
      <c r="BX64" s="234"/>
      <c r="BY64" s="202"/>
      <c r="BZ64" s="229"/>
      <c r="CB64" s="208"/>
      <c r="CC64" s="234"/>
      <c r="CD64" s="204"/>
      <c r="CE64" s="208"/>
      <c r="CF64" s="234"/>
      <c r="CG64" s="204"/>
      <c r="CH64" s="208"/>
      <c r="CI64" s="234"/>
      <c r="CJ64" s="204"/>
      <c r="CK64" s="208"/>
      <c r="CL64" s="234"/>
      <c r="CM64" s="202"/>
      <c r="CN64" s="229"/>
    </row>
    <row r="65" spans="2:92" ht="43.5" customHeight="1" thickBot="1" x14ac:dyDescent="0.25">
      <c r="B65" s="1586"/>
      <c r="C65" s="1471"/>
      <c r="D65" s="1497"/>
      <c r="E65" s="1440"/>
      <c r="F65" s="1554" t="s">
        <v>336</v>
      </c>
      <c r="G65" s="663" t="str">
        <f>+'Plan de Accion apoyo transversa'!X167</f>
        <v>Audiencia pública de Rendición de cuentas externa realizadas</v>
      </c>
      <c r="H65" s="1547"/>
      <c r="J65" s="214" t="e">
        <f>+'Plan de Accion apoyo transversa'!AW167</f>
        <v>#DIV/0!</v>
      </c>
      <c r="K65" s="650" t="str">
        <f>+'Plan de Accion apoyo transversa'!CF167</f>
        <v>No Prog ni Ejec</v>
      </c>
      <c r="L65" s="650" t="s">
        <v>204</v>
      </c>
      <c r="M65" s="650" t="s">
        <v>204</v>
      </c>
      <c r="N65" s="650" t="s">
        <v>204</v>
      </c>
      <c r="O65" s="650" t="s">
        <v>204</v>
      </c>
      <c r="P65" s="213"/>
      <c r="Q65" s="214" t="e">
        <f>+'Plan de Accion apoyo transversa'!BG167</f>
        <v>#DIV/0!</v>
      </c>
      <c r="R65" s="248" t="str">
        <f>+'Plan de Accion apoyo transversa'!CH167</f>
        <v>No Prog ni Ejec</v>
      </c>
      <c r="S65" s="212" t="s">
        <v>204</v>
      </c>
      <c r="T65" s="650">
        <f>+'Plan de Accion apoyo transversa'!BI167</f>
        <v>0</v>
      </c>
      <c r="U65" s="650">
        <f>IF(T65&gt;100%,100%,T65)</f>
        <v>0</v>
      </c>
      <c r="V65" s="211" t="s">
        <v>204</v>
      </c>
      <c r="W65" s="213"/>
      <c r="X65" s="214">
        <f>+'Plan de Accion apoyo transversa'!BQ167</f>
        <v>0</v>
      </c>
      <c r="Y65" s="248">
        <f>+'Plan de Accion apoyo transversa'!CJ167</f>
        <v>0</v>
      </c>
      <c r="Z65" s="212">
        <f>IF(Y65&gt;100%,100%,Y65)</f>
        <v>0</v>
      </c>
      <c r="AA65" s="217">
        <f>+'Plan de Accion apoyo transversa'!BS167</f>
        <v>0</v>
      </c>
      <c r="AB65" s="217">
        <f>IF(AA65&gt;100%,100%,AA65)</f>
        <v>0</v>
      </c>
      <c r="AC65" s="652">
        <f>+AB65</f>
        <v>0</v>
      </c>
      <c r="AD65" s="213"/>
      <c r="AE65" s="214" t="e">
        <f>+'Plan de Accion apoyo transversa'!CA167</f>
        <v>#DIV/0!</v>
      </c>
      <c r="AF65" s="248" t="str">
        <f>+'Plan de Accion apoyo transversa'!CL167</f>
        <v>No Prog ni Ejec</v>
      </c>
      <c r="AG65" s="212" t="s">
        <v>204</v>
      </c>
      <c r="AH65" s="248">
        <f>+'Plan de Accion apoyo transversa'!CC167</f>
        <v>0</v>
      </c>
      <c r="AI65" s="211">
        <f>IF(AH65&gt;100%,100%,AH65)</f>
        <v>0</v>
      </c>
      <c r="AJ65" s="228"/>
      <c r="AL65" s="657"/>
      <c r="AM65" s="234"/>
      <c r="AN65" s="204"/>
      <c r="AO65" s="657"/>
      <c r="AP65" s="234"/>
      <c r="AQ65" s="204"/>
      <c r="AR65" s="657"/>
      <c r="AS65" s="234"/>
      <c r="AT65" s="204"/>
      <c r="AU65" s="657"/>
      <c r="AV65" s="234"/>
      <c r="AW65" s="202"/>
      <c r="AX65" s="229"/>
      <c r="AZ65" s="657"/>
      <c r="BA65" s="234"/>
      <c r="BB65" s="204"/>
      <c r="BC65" s="657"/>
      <c r="BD65" s="234"/>
      <c r="BE65" s="204"/>
      <c r="BF65" s="657"/>
      <c r="BG65" s="234"/>
      <c r="BH65" s="204"/>
      <c r="BI65" s="657"/>
      <c r="BJ65" s="234"/>
      <c r="BK65" s="202"/>
      <c r="BL65" s="229"/>
      <c r="BN65" s="657"/>
      <c r="BO65" s="234"/>
      <c r="BP65" s="204"/>
      <c r="BQ65" s="657"/>
      <c r="BR65" s="234"/>
      <c r="BS65" s="204"/>
      <c r="BT65" s="657"/>
      <c r="BU65" s="234"/>
      <c r="BV65" s="204"/>
      <c r="BW65" s="657"/>
      <c r="BX65" s="234"/>
      <c r="BY65" s="202"/>
      <c r="BZ65" s="229"/>
      <c r="CB65" s="657"/>
      <c r="CC65" s="234"/>
      <c r="CD65" s="204"/>
      <c r="CE65" s="657"/>
      <c r="CF65" s="234"/>
      <c r="CG65" s="204"/>
      <c r="CH65" s="657"/>
      <c r="CI65" s="234"/>
      <c r="CJ65" s="204"/>
      <c r="CK65" s="657"/>
      <c r="CL65" s="234"/>
      <c r="CM65" s="202"/>
      <c r="CN65" s="229"/>
    </row>
    <row r="66" spans="2:92" ht="29.25" thickBot="1" x14ac:dyDescent="0.25">
      <c r="B66" s="1586"/>
      <c r="C66" s="1471"/>
      <c r="D66" s="1498"/>
      <c r="E66" s="1441"/>
      <c r="F66" s="1554"/>
      <c r="G66" s="315" t="str">
        <f>+'Plan de Accion apoyo transversa'!X14</f>
        <v>Informe de audiencia pública de rendición de cuentas</v>
      </c>
      <c r="H66" s="1547"/>
      <c r="J66" s="214" t="e">
        <f>+'Plan de Accion apoyo transversa'!AW14</f>
        <v>#DIV/0!</v>
      </c>
      <c r="K66" s="476" t="str">
        <f>+'Plan de Accion apoyo transversa'!CF14</f>
        <v>No Prog ni Ejec</v>
      </c>
      <c r="L66" s="476" t="s">
        <v>204</v>
      </c>
      <c r="M66" s="476">
        <f>+'Plan de Accion apoyo transversa'!AY14</f>
        <v>0</v>
      </c>
      <c r="N66" s="476">
        <f>IF(M66&gt;100%,100%,M66)</f>
        <v>0</v>
      </c>
      <c r="O66" s="476" t="s">
        <v>204</v>
      </c>
      <c r="P66" s="213"/>
      <c r="Q66" s="214" t="e">
        <f>+'Plan de Accion apoyo transversa'!BG14</f>
        <v>#DIV/0!</v>
      </c>
      <c r="R66" s="248" t="str">
        <f>+'Plan de Accion apoyo transversa'!CH14</f>
        <v>No Prog ni Ejec</v>
      </c>
      <c r="S66" s="212" t="s">
        <v>204</v>
      </c>
      <c r="T66" s="304">
        <f>+'Plan de Accion apoyo transversa'!BI14</f>
        <v>0</v>
      </c>
      <c r="U66" s="304">
        <f>IF(T66&gt;100%,100%,T66)</f>
        <v>0</v>
      </c>
      <c r="V66" s="211" t="s">
        <v>204</v>
      </c>
      <c r="W66" s="213"/>
      <c r="X66" s="214">
        <f>+'Plan de Accion apoyo transversa'!BQ14</f>
        <v>0.95454545454545459</v>
      </c>
      <c r="Y66" s="248">
        <f>+'Plan de Accion apoyo transversa'!CJ14</f>
        <v>0.95454545454545459</v>
      </c>
      <c r="Z66" s="212">
        <f>IF(Y66&gt;100%,100%,Y66)</f>
        <v>0.95454545454545459</v>
      </c>
      <c r="AA66" s="217">
        <f>+'Plan de Accion apoyo transversa'!BS14</f>
        <v>0.95454545454545459</v>
      </c>
      <c r="AB66" s="217">
        <f>IF(AA66&gt;100%,100%,AA66)</f>
        <v>0.95454545454545459</v>
      </c>
      <c r="AC66" s="302">
        <f>+AB66</f>
        <v>0.95454545454545459</v>
      </c>
      <c r="AD66" s="213"/>
      <c r="AE66" s="214" t="e">
        <f>+'Plan de Accion apoyo transversa'!CA14</f>
        <v>#DIV/0!</v>
      </c>
      <c r="AF66" s="248" t="str">
        <f>+'Plan de Accion apoyo transversa'!CL14</f>
        <v>No Prog ni Ejec</v>
      </c>
      <c r="AG66" s="212" t="s">
        <v>204</v>
      </c>
      <c r="AH66" s="248">
        <f>+'Plan de Accion apoyo transversa'!CC14</f>
        <v>0.95454545454545459</v>
      </c>
      <c r="AI66" s="211">
        <f>IF(AH66&gt;100%,100%,AH66)</f>
        <v>0.95454545454545459</v>
      </c>
      <c r="AJ66" s="228"/>
      <c r="AL66" s="208"/>
      <c r="AM66" s="234"/>
      <c r="AN66" s="204"/>
      <c r="AO66" s="208"/>
      <c r="AP66" s="234"/>
      <c r="AQ66" s="204"/>
      <c r="AR66" s="208"/>
      <c r="AS66" s="234"/>
      <c r="AT66" s="204"/>
      <c r="AU66" s="208"/>
      <c r="AV66" s="234"/>
      <c r="AW66" s="202"/>
      <c r="AX66" s="229"/>
      <c r="AZ66" s="208"/>
      <c r="BA66" s="234"/>
      <c r="BB66" s="204"/>
      <c r="BC66" s="208"/>
      <c r="BD66" s="234"/>
      <c r="BE66" s="204"/>
      <c r="BF66" s="208"/>
      <c r="BG66" s="234"/>
      <c r="BH66" s="204"/>
      <c r="BI66" s="208"/>
      <c r="BJ66" s="234"/>
      <c r="BK66" s="202"/>
      <c r="BL66" s="229"/>
      <c r="BN66" s="208"/>
      <c r="BO66" s="234"/>
      <c r="BP66" s="204"/>
      <c r="BQ66" s="208"/>
      <c r="BR66" s="234"/>
      <c r="BS66" s="204"/>
      <c r="BT66" s="208"/>
      <c r="BU66" s="234"/>
      <c r="BV66" s="204"/>
      <c r="BW66" s="208"/>
      <c r="BX66" s="234"/>
      <c r="BY66" s="202"/>
      <c r="BZ66" s="229"/>
      <c r="CB66" s="208"/>
      <c r="CC66" s="234"/>
      <c r="CD66" s="204"/>
      <c r="CE66" s="208"/>
      <c r="CF66" s="234"/>
      <c r="CG66" s="204"/>
      <c r="CH66" s="208"/>
      <c r="CI66" s="234"/>
      <c r="CJ66" s="204"/>
      <c r="CK66" s="208"/>
      <c r="CL66" s="234"/>
      <c r="CM66" s="202"/>
      <c r="CN66" s="229"/>
    </row>
    <row r="67" spans="2:92" ht="29.25" thickBot="1" x14ac:dyDescent="0.25">
      <c r="B67" s="1586"/>
      <c r="C67" s="1471"/>
      <c r="D67" s="1436" t="s">
        <v>204</v>
      </c>
      <c r="E67" s="1545" t="s">
        <v>14</v>
      </c>
      <c r="F67" s="337" t="s">
        <v>337</v>
      </c>
      <c r="G67" s="315" t="str">
        <f>+'Plan de Accion apoyo transversa'!X50</f>
        <v xml:space="preserve">Archivo documental transferido al custodio final </v>
      </c>
      <c r="H67" s="1547"/>
      <c r="J67" s="214">
        <f>+'Plan de Accion apoyo transversa'!AW50</f>
        <v>0</v>
      </c>
      <c r="K67" s="476">
        <f>+'Plan de Accion apoyo transversa'!CF50</f>
        <v>0</v>
      </c>
      <c r="L67" s="476">
        <f>IF(K67&gt;100%,100%,K67)</f>
        <v>0</v>
      </c>
      <c r="M67" s="476">
        <f>+'Plan de Accion apoyo transversa'!AY50</f>
        <v>0</v>
      </c>
      <c r="N67" s="476">
        <f>IF(M67&gt;100%,100%,M67)</f>
        <v>0</v>
      </c>
      <c r="O67" s="476">
        <f>+N67</f>
        <v>0</v>
      </c>
      <c r="P67" s="213"/>
      <c r="Q67" s="214">
        <f>+'Plan de Accion apoyo transversa'!BG50</f>
        <v>1</v>
      </c>
      <c r="R67" s="248">
        <f>+'Plan de Accion apoyo transversa'!CH50</f>
        <v>1</v>
      </c>
      <c r="S67" s="212">
        <f>IF(R67&gt;100%,100%,R67)</f>
        <v>1</v>
      </c>
      <c r="T67" s="304">
        <f>+'Plan de Accion apoyo transversa'!BI50</f>
        <v>0.375</v>
      </c>
      <c r="U67" s="304">
        <f>IF(T67&gt;100%,100%,T67)</f>
        <v>0.375</v>
      </c>
      <c r="V67" s="211">
        <f>+U67</f>
        <v>0.375</v>
      </c>
      <c r="W67" s="213"/>
      <c r="X67" s="214">
        <f>+'Plan de Accion apoyo transversa'!BQ50</f>
        <v>1</v>
      </c>
      <c r="Y67" s="248">
        <f>+'Plan de Accion apoyo transversa'!CJ50</f>
        <v>1</v>
      </c>
      <c r="Z67" s="212">
        <f>IF(Y67&gt;100%,100%,Y67)</f>
        <v>1</v>
      </c>
      <c r="AA67" s="217">
        <f>+'Plan de Accion apoyo transversa'!BS50</f>
        <v>0.75</v>
      </c>
      <c r="AB67" s="217">
        <f>IF(AA67&gt;100%,100%,AA67)</f>
        <v>0.75</v>
      </c>
      <c r="AC67" s="302">
        <f>+AB67</f>
        <v>0.75</v>
      </c>
      <c r="AD67" s="213"/>
      <c r="AE67" s="214">
        <f>+'Plan de Accion apoyo transversa'!CA50</f>
        <v>1</v>
      </c>
      <c r="AF67" s="248">
        <f>+'Plan de Accion apoyo transversa'!CL50</f>
        <v>1</v>
      </c>
      <c r="AG67" s="212">
        <f>IF(AF67&gt;100%,100%,AF67)</f>
        <v>1</v>
      </c>
      <c r="AH67" s="248">
        <f>+'Plan de Accion apoyo transversa'!CC50</f>
        <v>0.875</v>
      </c>
      <c r="AI67" s="211">
        <f>IF(AH67&gt;100%,100%,AH67)</f>
        <v>0.875</v>
      </c>
      <c r="AJ67" s="228"/>
      <c r="AL67" s="208"/>
      <c r="AM67" s="234"/>
      <c r="AN67" s="204"/>
      <c r="AO67" s="208"/>
      <c r="AP67" s="234"/>
      <c r="AQ67" s="204"/>
      <c r="AR67" s="208"/>
      <c r="AS67" s="234"/>
      <c r="AT67" s="204"/>
      <c r="AU67" s="208"/>
      <c r="AV67" s="234"/>
      <c r="AW67" s="202"/>
      <c r="AX67" s="229"/>
      <c r="AZ67" s="208"/>
      <c r="BA67" s="234"/>
      <c r="BB67" s="204"/>
      <c r="BC67" s="208"/>
      <c r="BD67" s="234"/>
      <c r="BE67" s="204"/>
      <c r="BF67" s="208"/>
      <c r="BG67" s="234"/>
      <c r="BH67" s="204"/>
      <c r="BI67" s="208"/>
      <c r="BJ67" s="234"/>
      <c r="BK67" s="202"/>
      <c r="BL67" s="229"/>
      <c r="BN67" s="208"/>
      <c r="BO67" s="234"/>
      <c r="BP67" s="204"/>
      <c r="BQ67" s="208"/>
      <c r="BR67" s="234"/>
      <c r="BS67" s="204"/>
      <c r="BT67" s="208"/>
      <c r="BU67" s="234"/>
      <c r="BV67" s="204"/>
      <c r="BW67" s="208"/>
      <c r="BX67" s="234"/>
      <c r="BY67" s="202"/>
      <c r="BZ67" s="229"/>
      <c r="CB67" s="208"/>
      <c r="CC67" s="234"/>
      <c r="CD67" s="204"/>
      <c r="CE67" s="208"/>
      <c r="CF67" s="234"/>
      <c r="CG67" s="204"/>
      <c r="CH67" s="208"/>
      <c r="CI67" s="234"/>
      <c r="CJ67" s="204"/>
      <c r="CK67" s="208"/>
      <c r="CL67" s="234"/>
      <c r="CM67" s="202"/>
      <c r="CN67" s="229"/>
    </row>
    <row r="68" spans="2:92" ht="86.25" thickBot="1" x14ac:dyDescent="0.25">
      <c r="B68" s="1586"/>
      <c r="C68" s="1471"/>
      <c r="D68" s="1437"/>
      <c r="E68" s="1545"/>
      <c r="F68" s="1544" t="s">
        <v>1177</v>
      </c>
      <c r="G68" s="315" t="str">
        <f>+'Plan de Accion apoyo transversa'!X56</f>
        <v>Jornada de socialización y divulgación de las Políticas de SST y Prevención de alcohol y drogas a todos los servidores públicos y partes interesadas realizada</v>
      </c>
      <c r="H68" s="1547"/>
      <c r="J68" s="1490">
        <f>+'Plan de Accion apoyo transversa'!AW56</f>
        <v>0.61111112365071651</v>
      </c>
      <c r="K68" s="1447">
        <f>+'Plan de Accion apoyo transversa'!CF56</f>
        <v>0.61111112365071651</v>
      </c>
      <c r="L68" s="1447">
        <f>IF(K68&gt;100%,100%,K68)</f>
        <v>0.61111112365071651</v>
      </c>
      <c r="M68" s="1447">
        <f>+'Plan de Accion apoyo transversa'!AY56</f>
        <v>0.15277778091267913</v>
      </c>
      <c r="N68" s="1447">
        <f>IF(M68&gt;100%,100%,M68)</f>
        <v>0.15277778091267913</v>
      </c>
      <c r="O68" s="1447">
        <f>+N68</f>
        <v>0.15277778091267913</v>
      </c>
      <c r="P68" s="213"/>
      <c r="Q68" s="1490">
        <f>+'Plan de Accion apoyo transversa'!BG56</f>
        <v>0.5</v>
      </c>
      <c r="R68" s="1484">
        <f>+'Plan de Accion apoyo transversa'!CH56</f>
        <v>0.5</v>
      </c>
      <c r="S68" s="1484">
        <f>IF(R68&gt;100%,100%,R68)</f>
        <v>0.5</v>
      </c>
      <c r="T68" s="1484">
        <f>+'Plan de Accion apoyo transversa'!BI56</f>
        <v>0.27777778091267913</v>
      </c>
      <c r="U68" s="1484">
        <f>IF(T68&gt;100%,100%,T68)</f>
        <v>0.27777778091267913</v>
      </c>
      <c r="V68" s="1486">
        <f>+U68</f>
        <v>0.27777778091267913</v>
      </c>
      <c r="W68" s="213"/>
      <c r="X68" s="1490">
        <f>+'Plan de Accion apoyo transversa'!BQ56</f>
        <v>1.6388888951586915</v>
      </c>
      <c r="Y68" s="1484">
        <f>+'Plan de Accion apoyo transversa'!CJ56</f>
        <v>1.6388888951586915</v>
      </c>
      <c r="Z68" s="1484">
        <f>IF(Y68&gt;100%,100%,Y68)</f>
        <v>1</v>
      </c>
      <c r="AA68" s="1517">
        <f>+'Plan de Accion apoyo transversa'!BS56</f>
        <v>0.68750000470235206</v>
      </c>
      <c r="AB68" s="1517">
        <f>IF(AA68&gt;100%,100%,AA68)</f>
        <v>0.68750000470235206</v>
      </c>
      <c r="AC68" s="1519">
        <f>+AB68</f>
        <v>0.68750000470235206</v>
      </c>
      <c r="AD68" s="213">
        <v>1</v>
      </c>
      <c r="AE68" s="1490">
        <f>+'Plan de Accion apoyo transversa'!CA56</f>
        <v>1</v>
      </c>
      <c r="AF68" s="1484">
        <f>+'Plan de Accion apoyo transversa'!CL56</f>
        <v>1</v>
      </c>
      <c r="AG68" s="1484">
        <f>IF(AF68&gt;100%,100%,AF68)</f>
        <v>1</v>
      </c>
      <c r="AH68" s="1484">
        <f>+'Plan de Accion apoyo transversa'!CC56</f>
        <v>0.93750000470235206</v>
      </c>
      <c r="AI68" s="1486">
        <f>IF(AH68&gt;100%,100%,AH68)</f>
        <v>0.93750000470235206</v>
      </c>
      <c r="AJ68" s="228"/>
      <c r="AL68" s="208"/>
      <c r="AM68" s="234"/>
      <c r="AN68" s="204"/>
      <c r="AO68" s="208"/>
      <c r="AP68" s="234"/>
      <c r="AQ68" s="204"/>
      <c r="AR68" s="208"/>
      <c r="AS68" s="234"/>
      <c r="AT68" s="204"/>
      <c r="AU68" s="208"/>
      <c r="AV68" s="234"/>
      <c r="AW68" s="202"/>
      <c r="AX68" s="229"/>
      <c r="AZ68" s="208"/>
      <c r="BA68" s="234"/>
      <c r="BB68" s="204"/>
      <c r="BC68" s="208"/>
      <c r="BD68" s="234"/>
      <c r="BE68" s="204"/>
      <c r="BF68" s="208"/>
      <c r="BG68" s="234"/>
      <c r="BH68" s="204"/>
      <c r="BI68" s="208"/>
      <c r="BJ68" s="234"/>
      <c r="BK68" s="202"/>
      <c r="BL68" s="229"/>
      <c r="BN68" s="208"/>
      <c r="BO68" s="234"/>
      <c r="BP68" s="204"/>
      <c r="BQ68" s="208"/>
      <c r="BR68" s="234"/>
      <c r="BS68" s="204"/>
      <c r="BT68" s="208"/>
      <c r="BU68" s="234"/>
      <c r="BV68" s="204"/>
      <c r="BW68" s="208"/>
      <c r="BX68" s="234"/>
      <c r="BY68" s="202"/>
      <c r="BZ68" s="229"/>
      <c r="CB68" s="208"/>
      <c r="CC68" s="234"/>
      <c r="CD68" s="204"/>
      <c r="CE68" s="208"/>
      <c r="CF68" s="234"/>
      <c r="CG68" s="204"/>
      <c r="CH68" s="208"/>
      <c r="CI68" s="234"/>
      <c r="CJ68" s="204"/>
      <c r="CK68" s="208"/>
      <c r="CL68" s="234"/>
      <c r="CM68" s="202"/>
      <c r="CN68" s="229"/>
    </row>
    <row r="69" spans="2:92" ht="29.25" thickBot="1" x14ac:dyDescent="0.25">
      <c r="B69" s="1586"/>
      <c r="C69" s="1471"/>
      <c r="D69" s="1437"/>
      <c r="E69" s="1545"/>
      <c r="F69" s="1544"/>
      <c r="G69" s="315" t="str">
        <f>+'Plan de Accion apoyo transversa'!X57</f>
        <v>Matriz de requisitos legales actualizada</v>
      </c>
      <c r="H69" s="1547"/>
      <c r="J69" s="1491"/>
      <c r="K69" s="1448"/>
      <c r="L69" s="1448"/>
      <c r="M69" s="1448"/>
      <c r="N69" s="1448"/>
      <c r="O69" s="1448"/>
      <c r="P69" s="213"/>
      <c r="Q69" s="1491"/>
      <c r="R69" s="1513"/>
      <c r="S69" s="1513"/>
      <c r="T69" s="1513"/>
      <c r="U69" s="1513"/>
      <c r="V69" s="1512"/>
      <c r="W69" s="213"/>
      <c r="X69" s="1491"/>
      <c r="Y69" s="1513"/>
      <c r="Z69" s="1513"/>
      <c r="AA69" s="1522"/>
      <c r="AB69" s="1522"/>
      <c r="AC69" s="1521"/>
      <c r="AD69" s="213"/>
      <c r="AE69" s="1491"/>
      <c r="AF69" s="1513"/>
      <c r="AG69" s="1513"/>
      <c r="AH69" s="1513"/>
      <c r="AI69" s="1512"/>
      <c r="AJ69" s="228"/>
      <c r="AL69" s="208"/>
      <c r="AM69" s="234"/>
      <c r="AN69" s="204"/>
      <c r="AO69" s="208"/>
      <c r="AP69" s="234"/>
      <c r="AQ69" s="204"/>
      <c r="AR69" s="208"/>
      <c r="AS69" s="234"/>
      <c r="AT69" s="204"/>
      <c r="AU69" s="208"/>
      <c r="AV69" s="234"/>
      <c r="AW69" s="202"/>
      <c r="AX69" s="229"/>
      <c r="AZ69" s="208"/>
      <c r="BA69" s="234"/>
      <c r="BB69" s="204"/>
      <c r="BC69" s="208"/>
      <c r="BD69" s="234"/>
      <c r="BE69" s="204"/>
      <c r="BF69" s="208"/>
      <c r="BG69" s="234"/>
      <c r="BH69" s="204"/>
      <c r="BI69" s="208"/>
      <c r="BJ69" s="234"/>
      <c r="BK69" s="202"/>
      <c r="BL69" s="229"/>
      <c r="BN69" s="208"/>
      <c r="BO69" s="234"/>
      <c r="BP69" s="204"/>
      <c r="BQ69" s="208"/>
      <c r="BR69" s="234"/>
      <c r="BS69" s="204"/>
      <c r="BT69" s="208"/>
      <c r="BU69" s="234"/>
      <c r="BV69" s="204"/>
      <c r="BW69" s="208"/>
      <c r="BX69" s="234"/>
      <c r="BY69" s="202"/>
      <c r="BZ69" s="229"/>
      <c r="CB69" s="208"/>
      <c r="CC69" s="234"/>
      <c r="CD69" s="204"/>
      <c r="CE69" s="208"/>
      <c r="CF69" s="234"/>
      <c r="CG69" s="204"/>
      <c r="CH69" s="208"/>
      <c r="CI69" s="234"/>
      <c r="CJ69" s="204"/>
      <c r="CK69" s="208"/>
      <c r="CL69" s="234"/>
      <c r="CM69" s="202"/>
      <c r="CN69" s="229"/>
    </row>
    <row r="70" spans="2:92" ht="29.25" thickBot="1" x14ac:dyDescent="0.25">
      <c r="B70" s="1586"/>
      <c r="C70" s="1471"/>
      <c r="D70" s="1437"/>
      <c r="E70" s="1545"/>
      <c r="F70" s="1544"/>
      <c r="G70" s="315" t="str">
        <f>+'Plan de Accion apoyo transversa'!X58</f>
        <v>Documentos del SG-SST actualizados</v>
      </c>
      <c r="H70" s="1547"/>
      <c r="J70" s="1491"/>
      <c r="K70" s="1448"/>
      <c r="L70" s="1448"/>
      <c r="M70" s="1448"/>
      <c r="N70" s="1448"/>
      <c r="O70" s="1448"/>
      <c r="P70" s="213"/>
      <c r="Q70" s="1491"/>
      <c r="R70" s="1513"/>
      <c r="S70" s="1513"/>
      <c r="T70" s="1513"/>
      <c r="U70" s="1513"/>
      <c r="V70" s="1512"/>
      <c r="W70" s="213"/>
      <c r="X70" s="1491"/>
      <c r="Y70" s="1513"/>
      <c r="Z70" s="1513"/>
      <c r="AA70" s="1522"/>
      <c r="AB70" s="1522"/>
      <c r="AC70" s="1521"/>
      <c r="AD70" s="213"/>
      <c r="AE70" s="1491"/>
      <c r="AF70" s="1513"/>
      <c r="AG70" s="1513"/>
      <c r="AH70" s="1513"/>
      <c r="AI70" s="1512"/>
      <c r="AJ70" s="228"/>
      <c r="AL70" s="208"/>
      <c r="AM70" s="234"/>
      <c r="AN70" s="204"/>
      <c r="AO70" s="208"/>
      <c r="AP70" s="234"/>
      <c r="AQ70" s="204"/>
      <c r="AR70" s="208"/>
      <c r="AS70" s="234"/>
      <c r="AT70" s="204"/>
      <c r="AU70" s="208"/>
      <c r="AV70" s="234"/>
      <c r="AW70" s="202"/>
      <c r="AX70" s="229"/>
      <c r="AZ70" s="208"/>
      <c r="BA70" s="234"/>
      <c r="BB70" s="204"/>
      <c r="BC70" s="208"/>
      <c r="BD70" s="234"/>
      <c r="BE70" s="204"/>
      <c r="BF70" s="208"/>
      <c r="BG70" s="234"/>
      <c r="BH70" s="204"/>
      <c r="BI70" s="208"/>
      <c r="BJ70" s="234"/>
      <c r="BK70" s="202"/>
      <c r="BL70" s="229"/>
      <c r="BN70" s="208"/>
      <c r="BO70" s="234"/>
      <c r="BP70" s="204"/>
      <c r="BQ70" s="208"/>
      <c r="BR70" s="234"/>
      <c r="BS70" s="204"/>
      <c r="BT70" s="208"/>
      <c r="BU70" s="234"/>
      <c r="BV70" s="204"/>
      <c r="BW70" s="208"/>
      <c r="BX70" s="234"/>
      <c r="BY70" s="202"/>
      <c r="BZ70" s="229"/>
      <c r="CB70" s="208"/>
      <c r="CC70" s="234"/>
      <c r="CD70" s="204"/>
      <c r="CE70" s="208"/>
      <c r="CF70" s="234"/>
      <c r="CG70" s="204"/>
      <c r="CH70" s="208"/>
      <c r="CI70" s="234"/>
      <c r="CJ70" s="204"/>
      <c r="CK70" s="208"/>
      <c r="CL70" s="234"/>
      <c r="CM70" s="202"/>
      <c r="CN70" s="229"/>
    </row>
    <row r="71" spans="2:92" ht="29.25" thickBot="1" x14ac:dyDescent="0.25">
      <c r="B71" s="1586"/>
      <c r="C71" s="1471"/>
      <c r="D71" s="1437"/>
      <c r="E71" s="1545"/>
      <c r="F71" s="1544"/>
      <c r="G71" s="315" t="str">
        <f>+'Plan de Accion apoyo transversa'!X59</f>
        <v>Programa de medicina preventiva elaborado</v>
      </c>
      <c r="H71" s="1547"/>
      <c r="J71" s="1491"/>
      <c r="K71" s="1448"/>
      <c r="L71" s="1448"/>
      <c r="M71" s="1448"/>
      <c r="N71" s="1448"/>
      <c r="O71" s="1448"/>
      <c r="P71" s="213"/>
      <c r="Q71" s="1491"/>
      <c r="R71" s="1513"/>
      <c r="S71" s="1513"/>
      <c r="T71" s="1513"/>
      <c r="U71" s="1513"/>
      <c r="V71" s="1512"/>
      <c r="W71" s="213"/>
      <c r="X71" s="1491"/>
      <c r="Y71" s="1513"/>
      <c r="Z71" s="1513"/>
      <c r="AA71" s="1522"/>
      <c r="AB71" s="1522"/>
      <c r="AC71" s="1521"/>
      <c r="AD71" s="213"/>
      <c r="AE71" s="1491"/>
      <c r="AF71" s="1513"/>
      <c r="AG71" s="1513"/>
      <c r="AH71" s="1513"/>
      <c r="AI71" s="1512"/>
      <c r="AJ71" s="228"/>
      <c r="AL71" s="208"/>
      <c r="AM71" s="234"/>
      <c r="AN71" s="204"/>
      <c r="AO71" s="208"/>
      <c r="AP71" s="234"/>
      <c r="AQ71" s="204"/>
      <c r="AR71" s="208"/>
      <c r="AS71" s="234"/>
      <c r="AT71" s="204"/>
      <c r="AU71" s="208"/>
      <c r="AV71" s="234"/>
      <c r="AW71" s="202"/>
      <c r="AX71" s="229"/>
      <c r="AZ71" s="208"/>
      <c r="BA71" s="234"/>
      <c r="BB71" s="204"/>
      <c r="BC71" s="208"/>
      <c r="BD71" s="234"/>
      <c r="BE71" s="204"/>
      <c r="BF71" s="208"/>
      <c r="BG71" s="234"/>
      <c r="BH71" s="204"/>
      <c r="BI71" s="208"/>
      <c r="BJ71" s="234"/>
      <c r="BK71" s="202"/>
      <c r="BL71" s="229"/>
      <c r="BN71" s="208"/>
      <c r="BO71" s="234"/>
      <c r="BP71" s="204"/>
      <c r="BQ71" s="208"/>
      <c r="BR71" s="234"/>
      <c r="BS71" s="204"/>
      <c r="BT71" s="208"/>
      <c r="BU71" s="234"/>
      <c r="BV71" s="204"/>
      <c r="BW71" s="208"/>
      <c r="BX71" s="234"/>
      <c r="BY71" s="202"/>
      <c r="BZ71" s="229"/>
      <c r="CB71" s="208"/>
      <c r="CC71" s="234"/>
      <c r="CD71" s="204"/>
      <c r="CE71" s="208"/>
      <c r="CF71" s="234"/>
      <c r="CG71" s="204"/>
      <c r="CH71" s="208"/>
      <c r="CI71" s="234"/>
      <c r="CJ71" s="204"/>
      <c r="CK71" s="208"/>
      <c r="CL71" s="234"/>
      <c r="CM71" s="202"/>
      <c r="CN71" s="229"/>
    </row>
    <row r="72" spans="2:92" ht="29.25" thickBot="1" x14ac:dyDescent="0.25">
      <c r="B72" s="1586"/>
      <c r="C72" s="1471"/>
      <c r="D72" s="1437"/>
      <c r="E72" s="1545"/>
      <c r="F72" s="1544"/>
      <c r="G72" s="315" t="str">
        <f>+'Plan de Accion apoyo transversa'!X60</f>
        <v>Programa de orden y aseso elaborado</v>
      </c>
      <c r="H72" s="1547"/>
      <c r="J72" s="1491"/>
      <c r="K72" s="1448"/>
      <c r="L72" s="1448"/>
      <c r="M72" s="1448"/>
      <c r="N72" s="1448"/>
      <c r="O72" s="1448"/>
      <c r="P72" s="213"/>
      <c r="Q72" s="1491"/>
      <c r="R72" s="1513"/>
      <c r="S72" s="1513"/>
      <c r="T72" s="1513"/>
      <c r="U72" s="1513"/>
      <c r="V72" s="1512"/>
      <c r="W72" s="213"/>
      <c r="X72" s="1491"/>
      <c r="Y72" s="1513"/>
      <c r="Z72" s="1513"/>
      <c r="AA72" s="1522"/>
      <c r="AB72" s="1522"/>
      <c r="AC72" s="1521"/>
      <c r="AD72" s="213"/>
      <c r="AE72" s="1491"/>
      <c r="AF72" s="1513"/>
      <c r="AG72" s="1513"/>
      <c r="AH72" s="1513"/>
      <c r="AI72" s="1512"/>
      <c r="AJ72" s="228"/>
      <c r="AL72" s="208"/>
      <c r="AM72" s="234"/>
      <c r="AN72" s="204"/>
      <c r="AO72" s="208"/>
      <c r="AP72" s="234"/>
      <c r="AQ72" s="204"/>
      <c r="AR72" s="208"/>
      <c r="AS72" s="234"/>
      <c r="AT72" s="204"/>
      <c r="AU72" s="208"/>
      <c r="AV72" s="234"/>
      <c r="AW72" s="202"/>
      <c r="AX72" s="229"/>
      <c r="AZ72" s="208"/>
      <c r="BA72" s="234"/>
      <c r="BB72" s="204"/>
      <c r="BC72" s="208"/>
      <c r="BD72" s="234"/>
      <c r="BE72" s="204"/>
      <c r="BF72" s="208"/>
      <c r="BG72" s="234"/>
      <c r="BH72" s="204"/>
      <c r="BI72" s="208"/>
      <c r="BJ72" s="234"/>
      <c r="BK72" s="202"/>
      <c r="BL72" s="229"/>
      <c r="BN72" s="208"/>
      <c r="BO72" s="234"/>
      <c r="BP72" s="204"/>
      <c r="BQ72" s="208"/>
      <c r="BR72" s="234"/>
      <c r="BS72" s="204"/>
      <c r="BT72" s="208"/>
      <c r="BU72" s="234"/>
      <c r="BV72" s="204"/>
      <c r="BW72" s="208"/>
      <c r="BX72" s="234"/>
      <c r="BY72" s="202"/>
      <c r="BZ72" s="229"/>
      <c r="CB72" s="208"/>
      <c r="CC72" s="234"/>
      <c r="CD72" s="204"/>
      <c r="CE72" s="208"/>
      <c r="CF72" s="234"/>
      <c r="CG72" s="204"/>
      <c r="CH72" s="208"/>
      <c r="CI72" s="234"/>
      <c r="CJ72" s="204"/>
      <c r="CK72" s="208"/>
      <c r="CL72" s="234"/>
      <c r="CM72" s="202"/>
      <c r="CN72" s="229"/>
    </row>
    <row r="73" spans="2:92" ht="57.75" thickBot="1" x14ac:dyDescent="0.25">
      <c r="B73" s="1586"/>
      <c r="C73" s="1471"/>
      <c r="D73" s="1437"/>
      <c r="E73" s="1545"/>
      <c r="F73" s="1544"/>
      <c r="G73" s="315" t="str">
        <f>+'Plan de Accion apoyo transversa'!X61</f>
        <v>Programa de vigilancia epidemiológicos  de riesgo Psicosocial y Biomecánico elaborado</v>
      </c>
      <c r="H73" s="1547"/>
      <c r="J73" s="1491"/>
      <c r="K73" s="1448"/>
      <c r="L73" s="1448"/>
      <c r="M73" s="1448"/>
      <c r="N73" s="1448"/>
      <c r="O73" s="1448"/>
      <c r="P73" s="213"/>
      <c r="Q73" s="1491"/>
      <c r="R73" s="1513"/>
      <c r="S73" s="1513"/>
      <c r="T73" s="1513"/>
      <c r="U73" s="1513"/>
      <c r="V73" s="1512"/>
      <c r="W73" s="213"/>
      <c r="X73" s="1491"/>
      <c r="Y73" s="1513"/>
      <c r="Z73" s="1513"/>
      <c r="AA73" s="1522"/>
      <c r="AB73" s="1522"/>
      <c r="AC73" s="1521"/>
      <c r="AD73" s="213"/>
      <c r="AE73" s="1491"/>
      <c r="AF73" s="1513"/>
      <c r="AG73" s="1513"/>
      <c r="AH73" s="1513"/>
      <c r="AI73" s="1512"/>
      <c r="AJ73" s="243"/>
      <c r="AK73" s="1167"/>
      <c r="AL73" s="241"/>
      <c r="AM73" s="240"/>
      <c r="AN73" s="242"/>
      <c r="AO73" s="241"/>
      <c r="AP73" s="240"/>
      <c r="AQ73" s="242"/>
      <c r="AR73" s="241"/>
      <c r="AS73" s="240"/>
      <c r="AT73" s="242"/>
      <c r="AU73" s="241"/>
      <c r="AV73" s="240"/>
      <c r="AW73" s="235"/>
      <c r="AX73" s="239"/>
      <c r="AY73" s="235"/>
      <c r="AZ73" s="241"/>
      <c r="BA73" s="240"/>
      <c r="BB73" s="242"/>
      <c r="BC73" s="241"/>
      <c r="BD73" s="240"/>
      <c r="BE73" s="242"/>
      <c r="BF73" s="241"/>
      <c r="BG73" s="240"/>
      <c r="BH73" s="242"/>
      <c r="BI73" s="241"/>
      <c r="BJ73" s="240"/>
      <c r="BK73" s="235"/>
      <c r="BL73" s="239"/>
      <c r="BN73" s="241"/>
      <c r="BO73" s="240"/>
      <c r="BP73" s="242"/>
      <c r="BQ73" s="241"/>
      <c r="BR73" s="240"/>
      <c r="BS73" s="242"/>
      <c r="BT73" s="241"/>
      <c r="BU73" s="240"/>
      <c r="BV73" s="242"/>
      <c r="BW73" s="241"/>
      <c r="BX73" s="240"/>
      <c r="BY73" s="235"/>
      <c r="BZ73" s="239"/>
      <c r="CB73" s="241"/>
      <c r="CC73" s="240"/>
      <c r="CD73" s="242"/>
      <c r="CE73" s="241"/>
      <c r="CF73" s="240"/>
      <c r="CG73" s="242"/>
      <c r="CH73" s="241"/>
      <c r="CI73" s="240"/>
      <c r="CJ73" s="242"/>
      <c r="CK73" s="241"/>
      <c r="CL73" s="240"/>
      <c r="CM73" s="235"/>
      <c r="CN73" s="239"/>
    </row>
    <row r="74" spans="2:92" ht="57.75" thickBot="1" x14ac:dyDescent="0.25">
      <c r="B74" s="1586"/>
      <c r="C74" s="1471"/>
      <c r="D74" s="1437"/>
      <c r="E74" s="1545"/>
      <c r="F74" s="1544"/>
      <c r="G74" s="315" t="str">
        <f>+'Plan de Accion apoyo transversa'!X62</f>
        <v>Programa de manejo de sustancias químicas (Sistema Globalmente armonizado) elaborado</v>
      </c>
      <c r="H74" s="1547"/>
      <c r="J74" s="1491"/>
      <c r="K74" s="1448"/>
      <c r="L74" s="1448"/>
      <c r="M74" s="1448"/>
      <c r="N74" s="1448"/>
      <c r="O74" s="1448"/>
      <c r="P74" s="213"/>
      <c r="Q74" s="1491"/>
      <c r="R74" s="1513"/>
      <c r="S74" s="1513"/>
      <c r="T74" s="1513"/>
      <c r="U74" s="1513"/>
      <c r="V74" s="1512"/>
      <c r="W74" s="213"/>
      <c r="X74" s="1491"/>
      <c r="Y74" s="1513"/>
      <c r="Z74" s="1513"/>
      <c r="AA74" s="1522"/>
      <c r="AB74" s="1522"/>
      <c r="AC74" s="1521"/>
      <c r="AD74" s="213"/>
      <c r="AE74" s="1491"/>
      <c r="AF74" s="1513"/>
      <c r="AG74" s="1513"/>
      <c r="AH74" s="1513"/>
      <c r="AI74" s="1512"/>
      <c r="AJ74" s="243"/>
      <c r="AK74" s="1167"/>
      <c r="AL74" s="241"/>
      <c r="AM74" s="240"/>
      <c r="AN74" s="242"/>
      <c r="AO74" s="241"/>
      <c r="AP74" s="240"/>
      <c r="AQ74" s="242"/>
      <c r="AR74" s="241"/>
      <c r="AS74" s="240"/>
      <c r="AT74" s="242"/>
      <c r="AU74" s="241"/>
      <c r="AV74" s="240"/>
      <c r="AW74" s="235"/>
      <c r="AX74" s="239"/>
      <c r="AY74" s="235"/>
      <c r="AZ74" s="241"/>
      <c r="BA74" s="240"/>
      <c r="BB74" s="242"/>
      <c r="BC74" s="241"/>
      <c r="BD74" s="240"/>
      <c r="BE74" s="242"/>
      <c r="BF74" s="241"/>
      <c r="BG74" s="240"/>
      <c r="BH74" s="242"/>
      <c r="BI74" s="241"/>
      <c r="BJ74" s="240"/>
      <c r="BK74" s="235"/>
      <c r="BL74" s="239"/>
      <c r="BN74" s="241"/>
      <c r="BO74" s="240"/>
      <c r="BP74" s="242"/>
      <c r="BQ74" s="241"/>
      <c r="BR74" s="240"/>
      <c r="BS74" s="242"/>
      <c r="BT74" s="241"/>
      <c r="BU74" s="240"/>
      <c r="BV74" s="242"/>
      <c r="BW74" s="241"/>
      <c r="BX74" s="240"/>
      <c r="BY74" s="235"/>
      <c r="BZ74" s="239"/>
      <c r="CB74" s="241"/>
      <c r="CC74" s="240"/>
      <c r="CD74" s="242"/>
      <c r="CE74" s="241"/>
      <c r="CF74" s="240"/>
      <c r="CG74" s="242"/>
      <c r="CH74" s="241"/>
      <c r="CI74" s="240"/>
      <c r="CJ74" s="242"/>
      <c r="CK74" s="241"/>
      <c r="CL74" s="240"/>
      <c r="CM74" s="235"/>
      <c r="CN74" s="239"/>
    </row>
    <row r="75" spans="2:92" ht="72" thickBot="1" x14ac:dyDescent="0.25">
      <c r="B75" s="1586"/>
      <c r="C75" s="1471"/>
      <c r="D75" s="1437"/>
      <c r="E75" s="1545"/>
      <c r="F75" s="1544"/>
      <c r="G75" s="315" t="str">
        <f>+'Plan de Accion apoyo transversa'!X63</f>
        <v>Jornada de socialización y divulgación de los roles y responsabilidades a todos los servidores públicos y partes interesadas realizada</v>
      </c>
      <c r="H75" s="1547"/>
      <c r="J75" s="1491"/>
      <c r="K75" s="1448"/>
      <c r="L75" s="1448"/>
      <c r="M75" s="1448"/>
      <c r="N75" s="1448"/>
      <c r="O75" s="1448"/>
      <c r="P75" s="213"/>
      <c r="Q75" s="1491"/>
      <c r="R75" s="1513"/>
      <c r="S75" s="1513"/>
      <c r="T75" s="1513"/>
      <c r="U75" s="1513"/>
      <c r="V75" s="1512"/>
      <c r="W75" s="213"/>
      <c r="X75" s="1491"/>
      <c r="Y75" s="1513"/>
      <c r="Z75" s="1513"/>
      <c r="AA75" s="1522"/>
      <c r="AB75" s="1522"/>
      <c r="AC75" s="1521"/>
      <c r="AD75" s="213"/>
      <c r="AE75" s="1491"/>
      <c r="AF75" s="1513"/>
      <c r="AG75" s="1513"/>
      <c r="AH75" s="1513"/>
      <c r="AI75" s="1512"/>
      <c r="AJ75" s="243"/>
      <c r="AK75" s="1167"/>
      <c r="AL75" s="241"/>
      <c r="AM75" s="240"/>
      <c r="AN75" s="242"/>
      <c r="AO75" s="241"/>
      <c r="AP75" s="240"/>
      <c r="AQ75" s="242"/>
      <c r="AR75" s="241"/>
      <c r="AS75" s="240"/>
      <c r="AT75" s="242"/>
      <c r="AU75" s="241"/>
      <c r="AV75" s="240"/>
      <c r="AW75" s="235"/>
      <c r="AX75" s="239"/>
      <c r="AY75" s="235"/>
      <c r="AZ75" s="241"/>
      <c r="BA75" s="240"/>
      <c r="BB75" s="242"/>
      <c r="BC75" s="241"/>
      <c r="BD75" s="240"/>
      <c r="BE75" s="242"/>
      <c r="BF75" s="241"/>
      <c r="BG75" s="240"/>
      <c r="BH75" s="242"/>
      <c r="BI75" s="241"/>
      <c r="BJ75" s="240"/>
      <c r="BK75" s="235"/>
      <c r="BL75" s="239"/>
      <c r="BN75" s="241"/>
      <c r="BO75" s="240"/>
      <c r="BP75" s="242"/>
      <c r="BQ75" s="241"/>
      <c r="BR75" s="240"/>
      <c r="BS75" s="242"/>
      <c r="BT75" s="241"/>
      <c r="BU75" s="240"/>
      <c r="BV75" s="242"/>
      <c r="BW75" s="241"/>
      <c r="BX75" s="240"/>
      <c r="BY75" s="235"/>
      <c r="BZ75" s="239"/>
      <c r="CB75" s="241"/>
      <c r="CC75" s="240"/>
      <c r="CD75" s="242"/>
      <c r="CE75" s="241"/>
      <c r="CF75" s="240"/>
      <c r="CG75" s="242"/>
      <c r="CH75" s="241"/>
      <c r="CI75" s="240"/>
      <c r="CJ75" s="242"/>
      <c r="CK75" s="241"/>
      <c r="CL75" s="240"/>
      <c r="CM75" s="235"/>
      <c r="CN75" s="239"/>
    </row>
    <row r="76" spans="2:92" ht="72" thickBot="1" x14ac:dyDescent="0.25">
      <c r="B76" s="1586"/>
      <c r="C76" s="1471"/>
      <c r="D76" s="1437"/>
      <c r="E76" s="1545"/>
      <c r="F76" s="1544"/>
      <c r="G76" s="315" t="str">
        <f>+'Plan de Accion apoyo transversa'!X64</f>
        <v>Rendición de Cuentas del Sistema de Seguridad y Salud en el Trabajo a todos los niveles de la Entidad  realizada</v>
      </c>
      <c r="H76" s="1547"/>
      <c r="J76" s="1491"/>
      <c r="K76" s="1448"/>
      <c r="L76" s="1448"/>
      <c r="M76" s="1448"/>
      <c r="N76" s="1448"/>
      <c r="O76" s="1448"/>
      <c r="P76" s="213"/>
      <c r="Q76" s="1491"/>
      <c r="R76" s="1513"/>
      <c r="S76" s="1513"/>
      <c r="T76" s="1513"/>
      <c r="U76" s="1513"/>
      <c r="V76" s="1512"/>
      <c r="W76" s="213"/>
      <c r="X76" s="1491"/>
      <c r="Y76" s="1513"/>
      <c r="Z76" s="1513"/>
      <c r="AA76" s="1522"/>
      <c r="AB76" s="1522"/>
      <c r="AC76" s="1521"/>
      <c r="AD76" s="213"/>
      <c r="AE76" s="1491"/>
      <c r="AF76" s="1513"/>
      <c r="AG76" s="1513"/>
      <c r="AH76" s="1513"/>
      <c r="AI76" s="1512"/>
      <c r="AJ76" s="243"/>
      <c r="AK76" s="1167"/>
      <c r="AL76" s="241"/>
      <c r="AM76" s="240"/>
      <c r="AN76" s="242"/>
      <c r="AO76" s="241"/>
      <c r="AP76" s="240"/>
      <c r="AQ76" s="242"/>
      <c r="AR76" s="241"/>
      <c r="AS76" s="240"/>
      <c r="AT76" s="242"/>
      <c r="AU76" s="241"/>
      <c r="AV76" s="240"/>
      <c r="AW76" s="235"/>
      <c r="AX76" s="239"/>
      <c r="AY76" s="235"/>
      <c r="AZ76" s="241"/>
      <c r="BA76" s="240"/>
      <c r="BB76" s="242"/>
      <c r="BC76" s="241"/>
      <c r="BD76" s="240"/>
      <c r="BE76" s="242"/>
      <c r="BF76" s="241"/>
      <c r="BG76" s="240"/>
      <c r="BH76" s="242"/>
      <c r="BI76" s="241"/>
      <c r="BJ76" s="240"/>
      <c r="BK76" s="235"/>
      <c r="BL76" s="239"/>
      <c r="BN76" s="241"/>
      <c r="BO76" s="240"/>
      <c r="BP76" s="242"/>
      <c r="BQ76" s="241"/>
      <c r="BR76" s="240"/>
      <c r="BS76" s="242"/>
      <c r="BT76" s="241"/>
      <c r="BU76" s="240"/>
      <c r="BV76" s="242"/>
      <c r="BW76" s="241"/>
      <c r="BX76" s="240"/>
      <c r="BY76" s="235"/>
      <c r="BZ76" s="239"/>
      <c r="CB76" s="241"/>
      <c r="CC76" s="240"/>
      <c r="CD76" s="242"/>
      <c r="CE76" s="241"/>
      <c r="CF76" s="240"/>
      <c r="CG76" s="242"/>
      <c r="CH76" s="241"/>
      <c r="CI76" s="240"/>
      <c r="CJ76" s="242"/>
      <c r="CK76" s="241"/>
      <c r="CL76" s="240"/>
      <c r="CM76" s="235"/>
      <c r="CN76" s="239"/>
    </row>
    <row r="77" spans="2:92" ht="43.5" thickBot="1" x14ac:dyDescent="0.25">
      <c r="B77" s="1586"/>
      <c r="C77" s="1471"/>
      <c r="D77" s="1437"/>
      <c r="E77" s="1545"/>
      <c r="F77" s="1544"/>
      <c r="G77" s="315" t="str">
        <f>+'Plan de Accion apoyo transversa'!X65</f>
        <v>Jornada de divulgación del Plan de Emergencias realizada</v>
      </c>
      <c r="H77" s="1547"/>
      <c r="J77" s="1491"/>
      <c r="K77" s="1448"/>
      <c r="L77" s="1448"/>
      <c r="M77" s="1448"/>
      <c r="N77" s="1448"/>
      <c r="O77" s="1448"/>
      <c r="P77" s="213"/>
      <c r="Q77" s="1491"/>
      <c r="R77" s="1513"/>
      <c r="S77" s="1513"/>
      <c r="T77" s="1513"/>
      <c r="U77" s="1513"/>
      <c r="V77" s="1512"/>
      <c r="W77" s="213"/>
      <c r="X77" s="1491"/>
      <c r="Y77" s="1513"/>
      <c r="Z77" s="1513"/>
      <c r="AA77" s="1522"/>
      <c r="AB77" s="1522"/>
      <c r="AC77" s="1521"/>
      <c r="AD77" s="213"/>
      <c r="AE77" s="1491"/>
      <c r="AF77" s="1513"/>
      <c r="AG77" s="1513"/>
      <c r="AH77" s="1513"/>
      <c r="AI77" s="1512"/>
      <c r="AJ77" s="243"/>
      <c r="AK77" s="1167"/>
      <c r="AL77" s="241"/>
      <c r="AM77" s="240"/>
      <c r="AN77" s="242"/>
      <c r="AO77" s="241"/>
      <c r="AP77" s="240"/>
      <c r="AQ77" s="242"/>
      <c r="AR77" s="241"/>
      <c r="AS77" s="240"/>
      <c r="AT77" s="242"/>
      <c r="AU77" s="241"/>
      <c r="AV77" s="240"/>
      <c r="AW77" s="235"/>
      <c r="AX77" s="239"/>
      <c r="AY77" s="235"/>
      <c r="AZ77" s="241"/>
      <c r="BA77" s="240"/>
      <c r="BB77" s="242"/>
      <c r="BC77" s="241"/>
      <c r="BD77" s="240"/>
      <c r="BE77" s="242"/>
      <c r="BF77" s="241"/>
      <c r="BG77" s="240"/>
      <c r="BH77" s="242"/>
      <c r="BI77" s="241"/>
      <c r="BJ77" s="240"/>
      <c r="BK77" s="235"/>
      <c r="BL77" s="239"/>
      <c r="BN77" s="241"/>
      <c r="BO77" s="240"/>
      <c r="BP77" s="242"/>
      <c r="BQ77" s="241"/>
      <c r="BR77" s="240"/>
      <c r="BS77" s="242"/>
      <c r="BT77" s="241"/>
      <c r="BU77" s="240"/>
      <c r="BV77" s="242"/>
      <c r="BW77" s="241"/>
      <c r="BX77" s="240"/>
      <c r="BY77" s="235"/>
      <c r="BZ77" s="239"/>
      <c r="CB77" s="241"/>
      <c r="CC77" s="240"/>
      <c r="CD77" s="242"/>
      <c r="CE77" s="241"/>
      <c r="CF77" s="240"/>
      <c r="CG77" s="242"/>
      <c r="CH77" s="241"/>
      <c r="CI77" s="240"/>
      <c r="CJ77" s="242"/>
      <c r="CK77" s="241"/>
      <c r="CL77" s="240"/>
      <c r="CM77" s="235"/>
      <c r="CN77" s="239"/>
    </row>
    <row r="78" spans="2:92" ht="43.5" thickBot="1" x14ac:dyDescent="0.25">
      <c r="B78" s="1586"/>
      <c r="C78" s="1471"/>
      <c r="D78" s="1437"/>
      <c r="E78" s="1545"/>
      <c r="F78" s="1544"/>
      <c r="G78" s="315" t="str">
        <f>+'Plan de Accion apoyo transversa'!X66</f>
        <v>Jornada de divulgación  del programa de inspecciones  realizada</v>
      </c>
      <c r="H78" s="1547"/>
      <c r="J78" s="1491"/>
      <c r="K78" s="1448"/>
      <c r="L78" s="1448"/>
      <c r="M78" s="1448"/>
      <c r="N78" s="1448"/>
      <c r="O78" s="1448"/>
      <c r="P78" s="213"/>
      <c r="Q78" s="1491"/>
      <c r="R78" s="1513"/>
      <c r="S78" s="1513"/>
      <c r="T78" s="1513"/>
      <c r="U78" s="1513"/>
      <c r="V78" s="1512"/>
      <c r="W78" s="213"/>
      <c r="X78" s="1491"/>
      <c r="Y78" s="1513"/>
      <c r="Z78" s="1513"/>
      <c r="AA78" s="1522"/>
      <c r="AB78" s="1522"/>
      <c r="AC78" s="1521"/>
      <c r="AD78" s="213"/>
      <c r="AE78" s="1491"/>
      <c r="AF78" s="1513"/>
      <c r="AG78" s="1513"/>
      <c r="AH78" s="1513"/>
      <c r="AI78" s="1512"/>
      <c r="AJ78" s="243"/>
      <c r="AK78" s="1167"/>
      <c r="AL78" s="241"/>
      <c r="AM78" s="240"/>
      <c r="AN78" s="242"/>
      <c r="AO78" s="241"/>
      <c r="AP78" s="240"/>
      <c r="AQ78" s="242"/>
      <c r="AR78" s="241"/>
      <c r="AS78" s="240"/>
      <c r="AT78" s="242"/>
      <c r="AU78" s="241"/>
      <c r="AV78" s="240"/>
      <c r="AW78" s="235"/>
      <c r="AX78" s="239"/>
      <c r="AY78" s="235"/>
      <c r="AZ78" s="241"/>
      <c r="BA78" s="240"/>
      <c r="BB78" s="242"/>
      <c r="BC78" s="241"/>
      <c r="BD78" s="240"/>
      <c r="BE78" s="242"/>
      <c r="BF78" s="241"/>
      <c r="BG78" s="240"/>
      <c r="BH78" s="242"/>
      <c r="BI78" s="241"/>
      <c r="BJ78" s="240"/>
      <c r="BK78" s="235"/>
      <c r="BL78" s="239"/>
      <c r="BN78" s="241"/>
      <c r="BO78" s="240"/>
      <c r="BP78" s="242"/>
      <c r="BQ78" s="241"/>
      <c r="BR78" s="240"/>
      <c r="BS78" s="242"/>
      <c r="BT78" s="241"/>
      <c r="BU78" s="240"/>
      <c r="BV78" s="242"/>
      <c r="BW78" s="241"/>
      <c r="BX78" s="240"/>
      <c r="BY78" s="235"/>
      <c r="BZ78" s="239"/>
      <c r="CB78" s="241"/>
      <c r="CC78" s="240"/>
      <c r="CD78" s="242"/>
      <c r="CE78" s="241"/>
      <c r="CF78" s="240"/>
      <c r="CG78" s="242"/>
      <c r="CH78" s="241"/>
      <c r="CI78" s="240"/>
      <c r="CJ78" s="242"/>
      <c r="CK78" s="241"/>
      <c r="CL78" s="240"/>
      <c r="CM78" s="235"/>
      <c r="CN78" s="239"/>
    </row>
    <row r="79" spans="2:92" ht="43.5" thickBot="1" x14ac:dyDescent="0.25">
      <c r="B79" s="1586"/>
      <c r="C79" s="1471"/>
      <c r="D79" s="1437"/>
      <c r="E79" s="1545"/>
      <c r="F79" s="1544"/>
      <c r="G79" s="315" t="str">
        <f>+'Plan de Accion apoyo transversa'!X67</f>
        <v>Jornada de divulgación del programa de mantenimiento realizada</v>
      </c>
      <c r="H79" s="1547"/>
      <c r="J79" s="1491"/>
      <c r="K79" s="1448"/>
      <c r="L79" s="1448"/>
      <c r="M79" s="1448"/>
      <c r="N79" s="1448"/>
      <c r="O79" s="1448"/>
      <c r="P79" s="213"/>
      <c r="Q79" s="1491"/>
      <c r="R79" s="1513"/>
      <c r="S79" s="1513"/>
      <c r="T79" s="1513"/>
      <c r="U79" s="1513"/>
      <c r="V79" s="1512"/>
      <c r="W79" s="213"/>
      <c r="X79" s="1491"/>
      <c r="Y79" s="1513"/>
      <c r="Z79" s="1513"/>
      <c r="AA79" s="1522"/>
      <c r="AB79" s="1522"/>
      <c r="AC79" s="1521"/>
      <c r="AD79" s="213"/>
      <c r="AE79" s="1491"/>
      <c r="AF79" s="1513"/>
      <c r="AG79" s="1513"/>
      <c r="AH79" s="1513"/>
      <c r="AI79" s="1512"/>
      <c r="AJ79" s="243"/>
      <c r="AK79" s="1167"/>
      <c r="AL79" s="241"/>
      <c r="AM79" s="240"/>
      <c r="AN79" s="242"/>
      <c r="AO79" s="241"/>
      <c r="AP79" s="240"/>
      <c r="AQ79" s="242"/>
      <c r="AR79" s="241"/>
      <c r="AS79" s="240"/>
      <c r="AT79" s="242"/>
      <c r="AU79" s="241"/>
      <c r="AV79" s="240"/>
      <c r="AW79" s="235"/>
      <c r="AX79" s="239"/>
      <c r="AY79" s="235"/>
      <c r="AZ79" s="241"/>
      <c r="BA79" s="240"/>
      <c r="BB79" s="242"/>
      <c r="BC79" s="241"/>
      <c r="BD79" s="240"/>
      <c r="BE79" s="242"/>
      <c r="BF79" s="241"/>
      <c r="BG79" s="240"/>
      <c r="BH79" s="242"/>
      <c r="BI79" s="241"/>
      <c r="BJ79" s="240"/>
      <c r="BK79" s="235"/>
      <c r="BL79" s="239"/>
      <c r="BN79" s="241"/>
      <c r="BO79" s="240"/>
      <c r="BP79" s="242"/>
      <c r="BQ79" s="241"/>
      <c r="BR79" s="240"/>
      <c r="BS79" s="242"/>
      <c r="BT79" s="241"/>
      <c r="BU79" s="240"/>
      <c r="BV79" s="242"/>
      <c r="BW79" s="241"/>
      <c r="BX79" s="240"/>
      <c r="BY79" s="235"/>
      <c r="BZ79" s="239"/>
      <c r="CB79" s="241"/>
      <c r="CC79" s="240"/>
      <c r="CD79" s="242"/>
      <c r="CE79" s="241"/>
      <c r="CF79" s="240"/>
      <c r="CG79" s="242"/>
      <c r="CH79" s="241"/>
      <c r="CI79" s="240"/>
      <c r="CJ79" s="242"/>
      <c r="CK79" s="241"/>
      <c r="CL79" s="240"/>
      <c r="CM79" s="235"/>
      <c r="CN79" s="239"/>
    </row>
    <row r="80" spans="2:92" ht="29.25" thickBot="1" x14ac:dyDescent="0.25">
      <c r="B80" s="1586"/>
      <c r="C80" s="1471"/>
      <c r="D80" s="1437"/>
      <c r="E80" s="1545"/>
      <c r="F80" s="1544"/>
      <c r="G80" s="315" t="str">
        <f>+'Plan de Accion apoyo transversa'!X68</f>
        <v>Informes de resultado de la investigación</v>
      </c>
      <c r="H80" s="1547"/>
      <c r="J80" s="1491"/>
      <c r="K80" s="1448"/>
      <c r="L80" s="1448"/>
      <c r="M80" s="1448"/>
      <c r="N80" s="1448"/>
      <c r="O80" s="1448"/>
      <c r="P80" s="213"/>
      <c r="Q80" s="1491"/>
      <c r="R80" s="1513"/>
      <c r="S80" s="1513"/>
      <c r="T80" s="1513"/>
      <c r="U80" s="1513"/>
      <c r="V80" s="1512"/>
      <c r="W80" s="213"/>
      <c r="X80" s="1491"/>
      <c r="Y80" s="1513"/>
      <c r="Z80" s="1513"/>
      <c r="AA80" s="1522"/>
      <c r="AB80" s="1522"/>
      <c r="AC80" s="1521"/>
      <c r="AD80" s="213"/>
      <c r="AE80" s="1491"/>
      <c r="AF80" s="1513"/>
      <c r="AG80" s="1513"/>
      <c r="AH80" s="1513"/>
      <c r="AI80" s="1512"/>
      <c r="AJ80" s="243"/>
      <c r="AK80" s="1167"/>
      <c r="AL80" s="241"/>
      <c r="AM80" s="240"/>
      <c r="AN80" s="242"/>
      <c r="AO80" s="241"/>
      <c r="AP80" s="240"/>
      <c r="AQ80" s="242"/>
      <c r="AR80" s="241"/>
      <c r="AS80" s="240"/>
      <c r="AT80" s="242"/>
      <c r="AU80" s="241"/>
      <c r="AV80" s="240"/>
      <c r="AW80" s="235"/>
      <c r="AX80" s="239"/>
      <c r="AY80" s="235"/>
      <c r="AZ80" s="241"/>
      <c r="BA80" s="240"/>
      <c r="BB80" s="242"/>
      <c r="BC80" s="241"/>
      <c r="BD80" s="240"/>
      <c r="BE80" s="242"/>
      <c r="BF80" s="241"/>
      <c r="BG80" s="240"/>
      <c r="BH80" s="242"/>
      <c r="BI80" s="241"/>
      <c r="BJ80" s="240"/>
      <c r="BK80" s="235"/>
      <c r="BL80" s="239"/>
      <c r="BN80" s="241"/>
      <c r="BO80" s="240"/>
      <c r="BP80" s="242"/>
      <c r="BQ80" s="241"/>
      <c r="BR80" s="240"/>
      <c r="BS80" s="242"/>
      <c r="BT80" s="241"/>
      <c r="BU80" s="240"/>
      <c r="BV80" s="242"/>
      <c r="BW80" s="241"/>
      <c r="BX80" s="240"/>
      <c r="BY80" s="235"/>
      <c r="BZ80" s="239"/>
      <c r="CB80" s="241"/>
      <c r="CC80" s="240"/>
      <c r="CD80" s="242"/>
      <c r="CE80" s="241"/>
      <c r="CF80" s="240"/>
      <c r="CG80" s="242"/>
      <c r="CH80" s="241"/>
      <c r="CI80" s="240"/>
      <c r="CJ80" s="242"/>
      <c r="CK80" s="241"/>
      <c r="CL80" s="240"/>
      <c r="CM80" s="235"/>
      <c r="CN80" s="239"/>
    </row>
    <row r="81" spans="2:92" ht="86.25" thickBot="1" x14ac:dyDescent="0.25">
      <c r="B81" s="1586"/>
      <c r="C81" s="1471"/>
      <c r="D81" s="1437"/>
      <c r="E81" s="1545"/>
      <c r="F81" s="1544"/>
      <c r="G81" s="315" t="str">
        <f>+'Plan de Accion apoyo transversa'!X69</f>
        <v>Reuniones - Inspecciones - Acompañamiento y seguimiento en el desarrollo del Comité paritario de seguridad y Salud en el trabajo</v>
      </c>
      <c r="H81" s="1547"/>
      <c r="J81" s="1491"/>
      <c r="K81" s="1448"/>
      <c r="L81" s="1448"/>
      <c r="M81" s="1448"/>
      <c r="N81" s="1448"/>
      <c r="O81" s="1448"/>
      <c r="P81" s="213"/>
      <c r="Q81" s="1491"/>
      <c r="R81" s="1513"/>
      <c r="S81" s="1513"/>
      <c r="T81" s="1513"/>
      <c r="U81" s="1513"/>
      <c r="V81" s="1512"/>
      <c r="W81" s="213"/>
      <c r="X81" s="1491"/>
      <c r="Y81" s="1513"/>
      <c r="Z81" s="1513"/>
      <c r="AA81" s="1522"/>
      <c r="AB81" s="1522"/>
      <c r="AC81" s="1521"/>
      <c r="AD81" s="213"/>
      <c r="AE81" s="1491"/>
      <c r="AF81" s="1513"/>
      <c r="AG81" s="1513"/>
      <c r="AH81" s="1513"/>
      <c r="AI81" s="1512"/>
      <c r="AJ81" s="243"/>
      <c r="AK81" s="1167"/>
      <c r="AL81" s="241"/>
      <c r="AM81" s="240"/>
      <c r="AN81" s="242"/>
      <c r="AO81" s="241"/>
      <c r="AP81" s="240"/>
      <c r="AQ81" s="242"/>
      <c r="AR81" s="241"/>
      <c r="AS81" s="240"/>
      <c r="AT81" s="242"/>
      <c r="AU81" s="241"/>
      <c r="AV81" s="240"/>
      <c r="AW81" s="235"/>
      <c r="AX81" s="239"/>
      <c r="AY81" s="235"/>
      <c r="AZ81" s="241"/>
      <c r="BA81" s="240"/>
      <c r="BB81" s="242"/>
      <c r="BC81" s="241"/>
      <c r="BD81" s="240"/>
      <c r="BE81" s="242"/>
      <c r="BF81" s="241"/>
      <c r="BG81" s="240"/>
      <c r="BH81" s="242"/>
      <c r="BI81" s="241"/>
      <c r="BJ81" s="240"/>
      <c r="BK81" s="235"/>
      <c r="BL81" s="239"/>
      <c r="BN81" s="241"/>
      <c r="BO81" s="240"/>
      <c r="BP81" s="242"/>
      <c r="BQ81" s="241"/>
      <c r="BR81" s="240"/>
      <c r="BS81" s="242"/>
      <c r="BT81" s="241"/>
      <c r="BU81" s="240"/>
      <c r="BV81" s="242"/>
      <c r="BW81" s="241"/>
      <c r="BX81" s="240"/>
      <c r="BY81" s="235"/>
      <c r="BZ81" s="239"/>
      <c r="CB81" s="241"/>
      <c r="CC81" s="240"/>
      <c r="CD81" s="242"/>
      <c r="CE81" s="241"/>
      <c r="CF81" s="240"/>
      <c r="CG81" s="242"/>
      <c r="CH81" s="241"/>
      <c r="CI81" s="240"/>
      <c r="CJ81" s="242"/>
      <c r="CK81" s="241"/>
      <c r="CL81" s="240"/>
      <c r="CM81" s="235"/>
      <c r="CN81" s="239"/>
    </row>
    <row r="82" spans="2:92" ht="36.75" customHeight="1" thickBot="1" x14ac:dyDescent="0.25">
      <c r="B82" s="1586"/>
      <c r="C82" s="1471"/>
      <c r="D82" s="1437"/>
      <c r="E82" s="1545"/>
      <c r="F82" s="1544"/>
      <c r="G82" s="315" t="str">
        <f>+'Plan de Accion apoyo transversa'!X70</f>
        <v>Informe de la evaluación de cumplimiento del SG-SST de proveedores y contratistas "de personería jurídica"</v>
      </c>
      <c r="H82" s="1547"/>
      <c r="J82" s="1491"/>
      <c r="K82" s="1448"/>
      <c r="L82" s="1448"/>
      <c r="M82" s="1448"/>
      <c r="N82" s="1448"/>
      <c r="O82" s="1448"/>
      <c r="P82" s="213"/>
      <c r="Q82" s="1491"/>
      <c r="R82" s="1513"/>
      <c r="S82" s="1513"/>
      <c r="T82" s="1513"/>
      <c r="U82" s="1513"/>
      <c r="V82" s="1512"/>
      <c r="W82" s="213"/>
      <c r="X82" s="1491"/>
      <c r="Y82" s="1513"/>
      <c r="Z82" s="1513"/>
      <c r="AA82" s="1522"/>
      <c r="AB82" s="1522"/>
      <c r="AC82" s="1521"/>
      <c r="AD82" s="213"/>
      <c r="AE82" s="1491"/>
      <c r="AF82" s="1513"/>
      <c r="AG82" s="1513"/>
      <c r="AH82" s="1513"/>
      <c r="AI82" s="1512"/>
      <c r="AJ82" s="243"/>
      <c r="AK82" s="1167"/>
      <c r="AL82" s="241"/>
      <c r="AM82" s="240"/>
      <c r="AN82" s="242"/>
      <c r="AO82" s="241"/>
      <c r="AP82" s="240"/>
      <c r="AQ82" s="242"/>
      <c r="AR82" s="241"/>
      <c r="AS82" s="240"/>
      <c r="AT82" s="242"/>
      <c r="AU82" s="241"/>
      <c r="AV82" s="240"/>
      <c r="AW82" s="235"/>
      <c r="AX82" s="239"/>
      <c r="AY82" s="235"/>
      <c r="AZ82" s="241"/>
      <c r="BA82" s="240"/>
      <c r="BB82" s="242"/>
      <c r="BC82" s="241"/>
      <c r="BD82" s="240"/>
      <c r="BE82" s="242"/>
      <c r="BF82" s="241"/>
      <c r="BG82" s="240"/>
      <c r="BH82" s="242"/>
      <c r="BI82" s="241"/>
      <c r="BJ82" s="240"/>
      <c r="BK82" s="235"/>
      <c r="BL82" s="239"/>
      <c r="BN82" s="241"/>
      <c r="BO82" s="240"/>
      <c r="BP82" s="242"/>
      <c r="BQ82" s="241"/>
      <c r="BR82" s="240"/>
      <c r="BS82" s="242"/>
      <c r="BT82" s="241"/>
      <c r="BU82" s="240"/>
      <c r="BV82" s="242"/>
      <c r="BW82" s="241"/>
      <c r="BX82" s="240"/>
      <c r="BY82" s="235"/>
      <c r="BZ82" s="239"/>
      <c r="CB82" s="241"/>
      <c r="CC82" s="240"/>
      <c r="CD82" s="242"/>
      <c r="CE82" s="241"/>
      <c r="CF82" s="240"/>
      <c r="CG82" s="242"/>
      <c r="CH82" s="241"/>
      <c r="CI82" s="240"/>
      <c r="CJ82" s="242"/>
      <c r="CK82" s="241"/>
      <c r="CL82" s="240"/>
      <c r="CM82" s="235"/>
      <c r="CN82" s="239"/>
    </row>
    <row r="83" spans="2:92" ht="29.25" thickBot="1" x14ac:dyDescent="0.25">
      <c r="B83" s="1586"/>
      <c r="C83" s="1471"/>
      <c r="D83" s="1437"/>
      <c r="E83" s="1545"/>
      <c r="F83" s="1544"/>
      <c r="G83" s="315" t="str">
        <f>+'Plan de Accion apoyo transversa'!X71</f>
        <v>Informe de la auditoria interna del SG-SST</v>
      </c>
      <c r="H83" s="1547"/>
      <c r="J83" s="1491"/>
      <c r="K83" s="1448"/>
      <c r="L83" s="1448"/>
      <c r="M83" s="1448"/>
      <c r="N83" s="1448"/>
      <c r="O83" s="1448"/>
      <c r="P83" s="213"/>
      <c r="Q83" s="1491"/>
      <c r="R83" s="1513"/>
      <c r="S83" s="1513"/>
      <c r="T83" s="1513"/>
      <c r="U83" s="1513"/>
      <c r="V83" s="1512"/>
      <c r="W83" s="213"/>
      <c r="X83" s="1491"/>
      <c r="Y83" s="1513"/>
      <c r="Z83" s="1513"/>
      <c r="AA83" s="1522"/>
      <c r="AB83" s="1522"/>
      <c r="AC83" s="1521"/>
      <c r="AD83" s="213"/>
      <c r="AE83" s="1491"/>
      <c r="AF83" s="1513"/>
      <c r="AG83" s="1513"/>
      <c r="AH83" s="1513"/>
      <c r="AI83" s="1512"/>
      <c r="AJ83" s="243"/>
      <c r="AK83" s="1167"/>
      <c r="AL83" s="241"/>
      <c r="AM83" s="240"/>
      <c r="AN83" s="242"/>
      <c r="AO83" s="241"/>
      <c r="AP83" s="240"/>
      <c r="AQ83" s="242"/>
      <c r="AR83" s="241"/>
      <c r="AS83" s="240"/>
      <c r="AT83" s="242"/>
      <c r="AU83" s="241"/>
      <c r="AV83" s="240"/>
      <c r="AW83" s="235"/>
      <c r="AX83" s="239"/>
      <c r="AY83" s="235"/>
      <c r="AZ83" s="241"/>
      <c r="BA83" s="240"/>
      <c r="BB83" s="242"/>
      <c r="BC83" s="241"/>
      <c r="BD83" s="240"/>
      <c r="BE83" s="242"/>
      <c r="BF83" s="241"/>
      <c r="BG83" s="240"/>
      <c r="BH83" s="242"/>
      <c r="BI83" s="241"/>
      <c r="BJ83" s="240"/>
      <c r="BK83" s="235"/>
      <c r="BL83" s="239"/>
      <c r="BN83" s="241"/>
      <c r="BO83" s="240"/>
      <c r="BP83" s="242"/>
      <c r="BQ83" s="241"/>
      <c r="BR83" s="240"/>
      <c r="BS83" s="242"/>
      <c r="BT83" s="241"/>
      <c r="BU83" s="240"/>
      <c r="BV83" s="242"/>
      <c r="BW83" s="241"/>
      <c r="BX83" s="240"/>
      <c r="BY83" s="235"/>
      <c r="BZ83" s="239"/>
      <c r="CB83" s="241"/>
      <c r="CC83" s="240"/>
      <c r="CD83" s="242"/>
      <c r="CE83" s="241"/>
      <c r="CF83" s="240"/>
      <c r="CG83" s="242"/>
      <c r="CH83" s="241"/>
      <c r="CI83" s="240"/>
      <c r="CJ83" s="242"/>
      <c r="CK83" s="241"/>
      <c r="CL83" s="240"/>
      <c r="CM83" s="235"/>
      <c r="CN83" s="239"/>
    </row>
    <row r="84" spans="2:92" ht="57.75" thickBot="1" x14ac:dyDescent="0.25">
      <c r="B84" s="1586"/>
      <c r="C84" s="1471"/>
      <c r="D84" s="1437"/>
      <c r="E84" s="1545"/>
      <c r="F84" s="1544"/>
      <c r="G84" s="315" t="str">
        <f>+'Plan de Accion apoyo transversa'!X72</f>
        <v>Plan de acción de los hallazgos generados por auditoria interna o entes de control.</v>
      </c>
      <c r="H84" s="1547"/>
      <c r="J84" s="1492"/>
      <c r="K84" s="1449"/>
      <c r="L84" s="1449"/>
      <c r="M84" s="1449"/>
      <c r="N84" s="1449"/>
      <c r="O84" s="1449"/>
      <c r="P84" s="213"/>
      <c r="Q84" s="1492"/>
      <c r="R84" s="1485"/>
      <c r="S84" s="1485"/>
      <c r="T84" s="1485"/>
      <c r="U84" s="1485"/>
      <c r="V84" s="1487"/>
      <c r="W84" s="213"/>
      <c r="X84" s="1492"/>
      <c r="Y84" s="1485"/>
      <c r="Z84" s="1485"/>
      <c r="AA84" s="1518"/>
      <c r="AB84" s="1518"/>
      <c r="AC84" s="1520"/>
      <c r="AD84" s="213"/>
      <c r="AE84" s="1492"/>
      <c r="AF84" s="1485"/>
      <c r="AG84" s="1485"/>
      <c r="AH84" s="1485"/>
      <c r="AI84" s="1487"/>
      <c r="AJ84" s="243"/>
      <c r="AK84" s="1167"/>
      <c r="AL84" s="241"/>
      <c r="AM84" s="240"/>
      <c r="AN84" s="242"/>
      <c r="AO84" s="241"/>
      <c r="AP84" s="240"/>
      <c r="AQ84" s="242"/>
      <c r="AR84" s="241"/>
      <c r="AS84" s="240"/>
      <c r="AT84" s="242"/>
      <c r="AU84" s="241"/>
      <c r="AV84" s="240"/>
      <c r="AW84" s="235"/>
      <c r="AX84" s="239"/>
      <c r="AY84" s="235"/>
      <c r="AZ84" s="241"/>
      <c r="BA84" s="240"/>
      <c r="BB84" s="242"/>
      <c r="BC84" s="241"/>
      <c r="BD84" s="240"/>
      <c r="BE84" s="242"/>
      <c r="BF84" s="241"/>
      <c r="BG84" s="240"/>
      <c r="BH84" s="242"/>
      <c r="BI84" s="241"/>
      <c r="BJ84" s="240"/>
      <c r="BK84" s="235"/>
      <c r="BL84" s="239"/>
      <c r="BN84" s="241"/>
      <c r="BO84" s="240"/>
      <c r="BP84" s="242"/>
      <c r="BQ84" s="241"/>
      <c r="BR84" s="240"/>
      <c r="BS84" s="242"/>
      <c r="BT84" s="241"/>
      <c r="BU84" s="240"/>
      <c r="BV84" s="242"/>
      <c r="BW84" s="241"/>
      <c r="BX84" s="240"/>
      <c r="BY84" s="235"/>
      <c r="BZ84" s="239"/>
      <c r="CB84" s="241"/>
      <c r="CC84" s="240"/>
      <c r="CD84" s="242"/>
      <c r="CE84" s="241"/>
      <c r="CF84" s="240"/>
      <c r="CG84" s="242"/>
      <c r="CH84" s="241"/>
      <c r="CI84" s="240"/>
      <c r="CJ84" s="242"/>
      <c r="CK84" s="241"/>
      <c r="CL84" s="240"/>
      <c r="CM84" s="235"/>
      <c r="CN84" s="239"/>
    </row>
    <row r="85" spans="2:92" ht="20.25" thickBot="1" x14ac:dyDescent="0.25">
      <c r="B85" s="1586"/>
      <c r="C85" s="1471"/>
      <c r="D85" s="1437"/>
      <c r="E85" s="1545"/>
      <c r="F85" s="1544"/>
      <c r="G85" s="315" t="str">
        <f>+'Plan de Accion apoyo transversa'!X73</f>
        <v>Profesiograma elaborado</v>
      </c>
      <c r="H85" s="1547"/>
      <c r="J85" s="214" t="e">
        <f>+'Plan de Accion apoyo transversa'!AW73</f>
        <v>#DIV/0!</v>
      </c>
      <c r="K85" s="476" t="str">
        <f>+'Plan de Accion apoyo transversa'!CF73</f>
        <v>No Prog ni Ejec</v>
      </c>
      <c r="L85" s="476" t="s">
        <v>204</v>
      </c>
      <c r="M85" s="476">
        <f>+'Plan de Accion apoyo transversa'!AY73</f>
        <v>0</v>
      </c>
      <c r="N85" s="476">
        <f>IF(M85&gt;100%,100%,M85)</f>
        <v>0</v>
      </c>
      <c r="O85" s="476" t="s">
        <v>204</v>
      </c>
      <c r="P85" s="213"/>
      <c r="Q85" s="214" t="s">
        <v>204</v>
      </c>
      <c r="R85" s="248" t="str">
        <f>+'Plan de Accion apoyo transversa'!CH73</f>
        <v>No Prog ni Ejec</v>
      </c>
      <c r="S85" s="212" t="s">
        <v>204</v>
      </c>
      <c r="T85" s="304" t="s">
        <v>204</v>
      </c>
      <c r="U85" s="304" t="s">
        <v>204</v>
      </c>
      <c r="V85" s="211" t="s">
        <v>204</v>
      </c>
      <c r="W85" s="213"/>
      <c r="X85" s="214" t="s">
        <v>204</v>
      </c>
      <c r="Y85" s="248" t="str">
        <f>+'Plan de Accion apoyo transversa'!CJ73</f>
        <v>No Prog ni Ejec</v>
      </c>
      <c r="Z85" s="212" t="s">
        <v>204</v>
      </c>
      <c r="AA85" s="217" t="s">
        <v>204</v>
      </c>
      <c r="AB85" s="217" t="s">
        <v>204</v>
      </c>
      <c r="AC85" s="302" t="s">
        <v>204</v>
      </c>
      <c r="AD85" s="213"/>
      <c r="AE85" s="214" t="s">
        <v>204</v>
      </c>
      <c r="AF85" s="248" t="s">
        <v>180</v>
      </c>
      <c r="AG85" s="212" t="s">
        <v>204</v>
      </c>
      <c r="AH85" s="248" t="s">
        <v>204</v>
      </c>
      <c r="AI85" s="211" t="s">
        <v>204</v>
      </c>
      <c r="AJ85" s="243"/>
      <c r="AK85" s="1167"/>
      <c r="AL85" s="241"/>
      <c r="AM85" s="240"/>
      <c r="AN85" s="242"/>
      <c r="AO85" s="241"/>
      <c r="AP85" s="240"/>
      <c r="AQ85" s="242"/>
      <c r="AR85" s="241"/>
      <c r="AS85" s="240"/>
      <c r="AT85" s="242"/>
      <c r="AU85" s="241"/>
      <c r="AV85" s="240"/>
      <c r="AW85" s="235"/>
      <c r="AX85" s="239"/>
      <c r="AY85" s="235"/>
      <c r="AZ85" s="241"/>
      <c r="BA85" s="240"/>
      <c r="BB85" s="242"/>
      <c r="BC85" s="241"/>
      <c r="BD85" s="240"/>
      <c r="BE85" s="242"/>
      <c r="BF85" s="241"/>
      <c r="BG85" s="240"/>
      <c r="BH85" s="242"/>
      <c r="BI85" s="241"/>
      <c r="BJ85" s="240"/>
      <c r="BK85" s="235"/>
      <c r="BL85" s="239"/>
      <c r="BN85" s="241"/>
      <c r="BO85" s="240"/>
      <c r="BP85" s="242"/>
      <c r="BQ85" s="241"/>
      <c r="BR85" s="240"/>
      <c r="BS85" s="242"/>
      <c r="BT85" s="241"/>
      <c r="BU85" s="240"/>
      <c r="BV85" s="242"/>
      <c r="BW85" s="241"/>
      <c r="BX85" s="240"/>
      <c r="BY85" s="235"/>
      <c r="BZ85" s="239"/>
      <c r="CB85" s="241"/>
      <c r="CC85" s="240"/>
      <c r="CD85" s="242"/>
      <c r="CE85" s="241"/>
      <c r="CF85" s="240"/>
      <c r="CG85" s="242"/>
      <c r="CH85" s="241"/>
      <c r="CI85" s="240"/>
      <c r="CJ85" s="242"/>
      <c r="CK85" s="241"/>
      <c r="CL85" s="240"/>
      <c r="CM85" s="235"/>
      <c r="CN85" s="239"/>
    </row>
    <row r="86" spans="2:92" ht="72" thickBot="1" x14ac:dyDescent="0.25">
      <c r="B86" s="1586"/>
      <c r="C86" s="1471"/>
      <c r="D86" s="1437"/>
      <c r="E86" s="1545"/>
      <c r="F86" s="1544"/>
      <c r="G86" s="315" t="str">
        <f>+'Plan de Accion apoyo transversa'!X74</f>
        <v>Documento de estudios ambientales elaborado
Documento de estudios ergonómicos en salud ocupacional elaborado</v>
      </c>
      <c r="H86" s="1547"/>
      <c r="J86" s="214" t="e">
        <f>+'Plan de Accion apoyo transversa'!AW74</f>
        <v>#DIV/0!</v>
      </c>
      <c r="K86" s="476" t="str">
        <f>+'Plan de Accion apoyo transversa'!CF74</f>
        <v>No Prog ni Ejec</v>
      </c>
      <c r="L86" s="476" t="s">
        <v>204</v>
      </c>
      <c r="M86" s="476" t="s">
        <v>204</v>
      </c>
      <c r="N86" s="476" t="s">
        <v>204</v>
      </c>
      <c r="O86" s="476" t="s">
        <v>204</v>
      </c>
      <c r="P86" s="213"/>
      <c r="Q86" s="214" t="e">
        <f>+'Plan de Accion apoyo transversa'!BG74</f>
        <v>#DIV/0!</v>
      </c>
      <c r="R86" s="248" t="str">
        <f>+'Plan de Accion apoyo transversa'!CH74</f>
        <v>No Prog ni Ejec</v>
      </c>
      <c r="S86" s="212" t="s">
        <v>204</v>
      </c>
      <c r="T86" s="304" t="s">
        <v>204</v>
      </c>
      <c r="U86" s="304" t="s">
        <v>204</v>
      </c>
      <c r="V86" s="211" t="s">
        <v>204</v>
      </c>
      <c r="W86" s="213"/>
      <c r="X86" s="214">
        <f>+'Plan de Accion apoyo transversa'!BQ74</f>
        <v>0</v>
      </c>
      <c r="Y86" s="248">
        <f>+'Plan de Accion apoyo transversa'!CJ74</f>
        <v>0</v>
      </c>
      <c r="Z86" s="212">
        <f>IF(Y86&gt;100%,100%,Y86)</f>
        <v>0</v>
      </c>
      <c r="AA86" s="217">
        <f>+'Plan de Accion apoyo transversa'!BS74</f>
        <v>0</v>
      </c>
      <c r="AB86" s="217">
        <f t="shared" ref="AB86:AB123" si="61">IF(AA86&gt;100%,100%,AA86)</f>
        <v>0</v>
      </c>
      <c r="AC86" s="302">
        <f>+AB86</f>
        <v>0</v>
      </c>
      <c r="AD86" s="213"/>
      <c r="AE86" s="214" t="e">
        <f>+'Plan de Accion apoyo transversa'!CA74</f>
        <v>#DIV/0!</v>
      </c>
      <c r="AF86" s="248" t="str">
        <f>+'Plan de Accion apoyo transversa'!CL74</f>
        <v>No Prog ni Ejec</v>
      </c>
      <c r="AG86" s="212" t="s">
        <v>204</v>
      </c>
      <c r="AH86" s="248">
        <f>+'Plan de Accion apoyo transversa'!CC74</f>
        <v>0</v>
      </c>
      <c r="AI86" s="211">
        <f>+AH86</f>
        <v>0</v>
      </c>
      <c r="AJ86" s="243"/>
      <c r="AK86" s="1167"/>
      <c r="AL86" s="241"/>
      <c r="AM86" s="240"/>
      <c r="AN86" s="242"/>
      <c r="AO86" s="241"/>
      <c r="AP86" s="240"/>
      <c r="AQ86" s="242"/>
      <c r="AR86" s="241"/>
      <c r="AS86" s="240"/>
      <c r="AT86" s="242"/>
      <c r="AU86" s="241"/>
      <c r="AV86" s="240"/>
      <c r="AW86" s="235"/>
      <c r="AX86" s="239"/>
      <c r="AY86" s="235"/>
      <c r="AZ86" s="241"/>
      <c r="BA86" s="240"/>
      <c r="BB86" s="242"/>
      <c r="BC86" s="241"/>
      <c r="BD86" s="240"/>
      <c r="BE86" s="242"/>
      <c r="BF86" s="241"/>
      <c r="BG86" s="240"/>
      <c r="BH86" s="242"/>
      <c r="BI86" s="241"/>
      <c r="BJ86" s="240"/>
      <c r="BK86" s="235"/>
      <c r="BL86" s="239"/>
      <c r="BN86" s="241"/>
      <c r="BO86" s="240"/>
      <c r="BP86" s="242"/>
      <c r="BQ86" s="241"/>
      <c r="BR86" s="240"/>
      <c r="BS86" s="242"/>
      <c r="BT86" s="241"/>
      <c r="BU86" s="240"/>
      <c r="BV86" s="242"/>
      <c r="BW86" s="241"/>
      <c r="BX86" s="240"/>
      <c r="BY86" s="235"/>
      <c r="BZ86" s="239"/>
      <c r="CB86" s="241"/>
      <c r="CC86" s="240"/>
      <c r="CD86" s="242"/>
      <c r="CE86" s="241"/>
      <c r="CF86" s="240"/>
      <c r="CG86" s="242"/>
      <c r="CH86" s="241"/>
      <c r="CI86" s="240"/>
      <c r="CJ86" s="242"/>
      <c r="CK86" s="241"/>
      <c r="CL86" s="240"/>
      <c r="CM86" s="235"/>
      <c r="CN86" s="239"/>
    </row>
    <row r="87" spans="2:92" ht="29.25" customHeight="1" thickBot="1" x14ac:dyDescent="0.25">
      <c r="B87" s="1586"/>
      <c r="C87" s="1471"/>
      <c r="D87" s="1437"/>
      <c r="E87" s="1545"/>
      <c r="F87" s="1544"/>
      <c r="G87" s="315" t="str">
        <f>+'Plan de Accion apoyo transversa'!X75</f>
        <v>Elementos ergonómicos adquiridos</v>
      </c>
      <c r="H87" s="1547"/>
      <c r="J87" s="214" t="e">
        <f>+'Plan de Accion apoyo transversa'!AW75</f>
        <v>#DIV/0!</v>
      </c>
      <c r="K87" s="476" t="str">
        <f>+'Plan de Accion apoyo transversa'!CF75</f>
        <v>No Prog ni Ejec</v>
      </c>
      <c r="L87" s="476" t="s">
        <v>204</v>
      </c>
      <c r="M87" s="476" t="s">
        <v>204</v>
      </c>
      <c r="N87" s="476" t="s">
        <v>204</v>
      </c>
      <c r="O87" s="476" t="s">
        <v>204</v>
      </c>
      <c r="P87" s="213"/>
      <c r="Q87" s="214" t="e">
        <f>+'Plan de Accion apoyo transversa'!BG75</f>
        <v>#DIV/0!</v>
      </c>
      <c r="R87" s="248" t="str">
        <f>+'Plan de Accion apoyo transversa'!CH75</f>
        <v>No Prog ni Ejec</v>
      </c>
      <c r="S87" s="212" t="s">
        <v>204</v>
      </c>
      <c r="T87" s="304" t="s">
        <v>204</v>
      </c>
      <c r="U87" s="304">
        <f t="shared" ref="U87:U123" si="62">IF(T87&gt;100%,100%,T87)</f>
        <v>1</v>
      </c>
      <c r="V87" s="211" t="s">
        <v>204</v>
      </c>
      <c r="W87" s="213"/>
      <c r="X87" s="214" t="e">
        <f>+'Plan de Accion apoyo transversa'!BQ75</f>
        <v>#DIV/0!</v>
      </c>
      <c r="Y87" s="248" t="str">
        <f>+'Plan de Accion apoyo transversa'!CJ75</f>
        <v>No Prog ni Ejec</v>
      </c>
      <c r="Z87" s="212" t="s">
        <v>204</v>
      </c>
      <c r="AA87" s="217" t="s">
        <v>204</v>
      </c>
      <c r="AB87" s="217" t="s">
        <v>204</v>
      </c>
      <c r="AC87" s="302" t="s">
        <v>204</v>
      </c>
      <c r="AD87" s="213"/>
      <c r="AE87" s="214" t="e">
        <f>+'Plan de Accion apoyo transversa'!CA75</f>
        <v>#DIV/0!</v>
      </c>
      <c r="AF87" s="248" t="str">
        <f>+'Plan de Accion apoyo transversa'!CL75</f>
        <v>No Prog ni Ejec</v>
      </c>
      <c r="AG87" s="212" t="s">
        <v>204</v>
      </c>
      <c r="AH87" s="248" t="s">
        <v>204</v>
      </c>
      <c r="AI87" s="211" t="s">
        <v>204</v>
      </c>
      <c r="AJ87" s="243"/>
      <c r="AK87" s="1167"/>
      <c r="AL87" s="241"/>
      <c r="AM87" s="240"/>
      <c r="AN87" s="242"/>
      <c r="AO87" s="241"/>
      <c r="AP87" s="240"/>
      <c r="AQ87" s="242"/>
      <c r="AR87" s="241"/>
      <c r="AS87" s="240"/>
      <c r="AT87" s="242"/>
      <c r="AU87" s="241"/>
      <c r="AV87" s="240"/>
      <c r="AW87" s="235"/>
      <c r="AX87" s="239"/>
      <c r="AY87" s="235"/>
      <c r="AZ87" s="241"/>
      <c r="BA87" s="240"/>
      <c r="BB87" s="242"/>
      <c r="BC87" s="241"/>
      <c r="BD87" s="240"/>
      <c r="BE87" s="242"/>
      <c r="BF87" s="241"/>
      <c r="BG87" s="240"/>
      <c r="BH87" s="242"/>
      <c r="BI87" s="241"/>
      <c r="BJ87" s="240"/>
      <c r="BK87" s="235"/>
      <c r="BL87" s="239"/>
      <c r="BN87" s="241"/>
      <c r="BO87" s="240"/>
      <c r="BP87" s="242"/>
      <c r="BQ87" s="241"/>
      <c r="BR87" s="240"/>
      <c r="BS87" s="242"/>
      <c r="BT87" s="241"/>
      <c r="BU87" s="240"/>
      <c r="BV87" s="242"/>
      <c r="BW87" s="241"/>
      <c r="BX87" s="240"/>
      <c r="BY87" s="235"/>
      <c r="BZ87" s="239"/>
      <c r="CB87" s="241"/>
      <c r="CC87" s="240"/>
      <c r="CD87" s="242"/>
      <c r="CE87" s="241"/>
      <c r="CF87" s="240"/>
      <c r="CG87" s="242"/>
      <c r="CH87" s="241"/>
      <c r="CI87" s="240"/>
      <c r="CJ87" s="242"/>
      <c r="CK87" s="241"/>
      <c r="CL87" s="240"/>
      <c r="CM87" s="235"/>
      <c r="CN87" s="239"/>
    </row>
    <row r="88" spans="2:92" ht="29.25" thickBot="1" x14ac:dyDescent="0.25">
      <c r="B88" s="1586"/>
      <c r="C88" s="1471"/>
      <c r="D88" s="1437"/>
      <c r="E88" s="1545"/>
      <c r="F88" s="1544" t="s">
        <v>500</v>
      </c>
      <c r="G88" s="315" t="str">
        <f>+'Plan de Accion apoyo transversa'!X76</f>
        <v>Capacitación de Sistema de Seguridad Social realizada</v>
      </c>
      <c r="H88" s="1547"/>
      <c r="J88" s="214" t="e">
        <f>+'Plan de Accion apoyo transversa'!AW76</f>
        <v>#DIV/0!</v>
      </c>
      <c r="K88" s="476" t="str">
        <f>+'Plan de Accion apoyo transversa'!CF76</f>
        <v>No Prog ni Ejec</v>
      </c>
      <c r="L88" s="476" t="s">
        <v>204</v>
      </c>
      <c r="M88" s="476" t="s">
        <v>204</v>
      </c>
      <c r="N88" s="476" t="s">
        <v>204</v>
      </c>
      <c r="O88" s="476" t="s">
        <v>204</v>
      </c>
      <c r="P88" s="213"/>
      <c r="Q88" s="214" t="s">
        <v>204</v>
      </c>
      <c r="R88" s="248" t="str">
        <f>+'Plan de Accion apoyo transversa'!CH76</f>
        <v>No Prog ni Ejec</v>
      </c>
      <c r="S88" s="212" t="s">
        <v>204</v>
      </c>
      <c r="T88" s="304" t="s">
        <v>204</v>
      </c>
      <c r="U88" s="304" t="s">
        <v>204</v>
      </c>
      <c r="V88" s="211" t="str">
        <f t="shared" ref="V88:V92" si="63">+U88</f>
        <v>N.A</v>
      </c>
      <c r="W88" s="213"/>
      <c r="X88" s="214" t="s">
        <v>204</v>
      </c>
      <c r="Y88" s="248" t="str">
        <f>+'Plan de Accion apoyo transversa'!CJ76</f>
        <v>No Prog ni Ejec</v>
      </c>
      <c r="Z88" s="212" t="s">
        <v>204</v>
      </c>
      <c r="AA88" s="217" t="s">
        <v>204</v>
      </c>
      <c r="AB88" s="217" t="s">
        <v>204</v>
      </c>
      <c r="AC88" s="302" t="str">
        <f>+AB88</f>
        <v>N.A</v>
      </c>
      <c r="AD88" s="213"/>
      <c r="AE88" s="214" t="s">
        <v>204</v>
      </c>
      <c r="AF88" s="248" t="str">
        <f>+'Plan de Accion apoyo transversa'!CL76</f>
        <v>No Prog ni Ejec</v>
      </c>
      <c r="AG88" s="212" t="s">
        <v>204</v>
      </c>
      <c r="AH88" s="248" t="s">
        <v>204</v>
      </c>
      <c r="AI88" s="211" t="s">
        <v>204</v>
      </c>
      <c r="AJ88" s="243"/>
      <c r="AK88" s="1167"/>
      <c r="AL88" s="241"/>
      <c r="AM88" s="240"/>
      <c r="AN88" s="242"/>
      <c r="AO88" s="241"/>
      <c r="AP88" s="240"/>
      <c r="AQ88" s="242"/>
      <c r="AR88" s="241"/>
      <c r="AS88" s="240"/>
      <c r="AT88" s="242"/>
      <c r="AU88" s="241"/>
      <c r="AV88" s="240"/>
      <c r="AW88" s="235"/>
      <c r="AX88" s="239"/>
      <c r="AY88" s="235"/>
      <c r="AZ88" s="241"/>
      <c r="BA88" s="240"/>
      <c r="BB88" s="242"/>
      <c r="BC88" s="241"/>
      <c r="BD88" s="240"/>
      <c r="BE88" s="242"/>
      <c r="BF88" s="241"/>
      <c r="BG88" s="240"/>
      <c r="BH88" s="242"/>
      <c r="BI88" s="241"/>
      <c r="BJ88" s="240"/>
      <c r="BK88" s="235"/>
      <c r="BL88" s="239"/>
      <c r="BN88" s="241"/>
      <c r="BO88" s="240"/>
      <c r="BP88" s="242"/>
      <c r="BQ88" s="241"/>
      <c r="BR88" s="240"/>
      <c r="BS88" s="242"/>
      <c r="BT88" s="241"/>
      <c r="BU88" s="240"/>
      <c r="BV88" s="242"/>
      <c r="BW88" s="241"/>
      <c r="BX88" s="240"/>
      <c r="BY88" s="235"/>
      <c r="BZ88" s="239"/>
      <c r="CB88" s="241"/>
      <c r="CC88" s="240"/>
      <c r="CD88" s="242"/>
      <c r="CE88" s="241"/>
      <c r="CF88" s="240"/>
      <c r="CG88" s="242"/>
      <c r="CH88" s="241"/>
      <c r="CI88" s="240"/>
      <c r="CJ88" s="242"/>
      <c r="CK88" s="241"/>
      <c r="CL88" s="240"/>
      <c r="CM88" s="235"/>
      <c r="CN88" s="239"/>
    </row>
    <row r="89" spans="2:92" ht="57.75" thickBot="1" x14ac:dyDescent="0.25">
      <c r="B89" s="1586"/>
      <c r="C89" s="1471"/>
      <c r="D89" s="1437"/>
      <c r="E89" s="1545"/>
      <c r="F89" s="1544"/>
      <c r="G89" s="315" t="str">
        <f>+'Plan de Accion apoyo transversa'!X77</f>
        <v>Capacitación de Administración de personal sector publico y legislación laboral realizada</v>
      </c>
      <c r="H89" s="1547"/>
      <c r="J89" s="214" t="e">
        <f>+'Plan de Accion apoyo transversa'!AW77</f>
        <v>#DIV/0!</v>
      </c>
      <c r="K89" s="476" t="str">
        <f>+'Plan de Accion apoyo transversa'!CF77</f>
        <v>No Prog ni Ejec</v>
      </c>
      <c r="L89" s="476" t="s">
        <v>204</v>
      </c>
      <c r="M89" s="476" t="s">
        <v>204</v>
      </c>
      <c r="N89" s="476" t="s">
        <v>204</v>
      </c>
      <c r="O89" s="476" t="s">
        <v>204</v>
      </c>
      <c r="P89" s="213"/>
      <c r="Q89" s="214" t="s">
        <v>204</v>
      </c>
      <c r="R89" s="248" t="str">
        <f>+'Plan de Accion apoyo transversa'!CH77</f>
        <v>No Prog ni Ejec</v>
      </c>
      <c r="S89" s="212" t="s">
        <v>204</v>
      </c>
      <c r="T89" s="544" t="s">
        <v>204</v>
      </c>
      <c r="U89" s="544" t="s">
        <v>204</v>
      </c>
      <c r="V89" s="211" t="str">
        <f t="shared" si="63"/>
        <v>N.A</v>
      </c>
      <c r="W89" s="213"/>
      <c r="X89" s="214" t="s">
        <v>204</v>
      </c>
      <c r="Y89" s="248" t="str">
        <f>+'Plan de Accion apoyo transversa'!CJ77</f>
        <v>No Prog ni Ejec</v>
      </c>
      <c r="Z89" s="212" t="s">
        <v>204</v>
      </c>
      <c r="AA89" s="217" t="s">
        <v>204</v>
      </c>
      <c r="AB89" s="217" t="s">
        <v>204</v>
      </c>
      <c r="AC89" s="548" t="str">
        <f>+AB89</f>
        <v>N.A</v>
      </c>
      <c r="AD89" s="213"/>
      <c r="AE89" s="214" t="s">
        <v>204</v>
      </c>
      <c r="AF89" s="248" t="str">
        <f>+'Plan de Accion apoyo transversa'!CL77</f>
        <v>No Prog ni Ejec</v>
      </c>
      <c r="AG89" s="212" t="s">
        <v>204</v>
      </c>
      <c r="AH89" s="248" t="s">
        <v>204</v>
      </c>
      <c r="AI89" s="211" t="s">
        <v>204</v>
      </c>
      <c r="AJ89" s="243"/>
      <c r="AK89" s="1167"/>
      <c r="AL89" s="241"/>
      <c r="AM89" s="240"/>
      <c r="AN89" s="242"/>
      <c r="AO89" s="241"/>
      <c r="AP89" s="240"/>
      <c r="AQ89" s="242"/>
      <c r="AR89" s="241"/>
      <c r="AS89" s="240"/>
      <c r="AT89" s="242"/>
      <c r="AU89" s="241"/>
      <c r="AV89" s="240"/>
      <c r="AW89" s="235"/>
      <c r="AX89" s="239"/>
      <c r="AY89" s="235"/>
      <c r="AZ89" s="241"/>
      <c r="BA89" s="240"/>
      <c r="BB89" s="242"/>
      <c r="BC89" s="241"/>
      <c r="BD89" s="240"/>
      <c r="BE89" s="242"/>
      <c r="BF89" s="241"/>
      <c r="BG89" s="240"/>
      <c r="BH89" s="242"/>
      <c r="BI89" s="241"/>
      <c r="BJ89" s="240"/>
      <c r="BK89" s="235"/>
      <c r="BL89" s="239"/>
      <c r="BN89" s="241"/>
      <c r="BO89" s="240"/>
      <c r="BP89" s="242"/>
      <c r="BQ89" s="241"/>
      <c r="BR89" s="240"/>
      <c r="BS89" s="242"/>
      <c r="BT89" s="241"/>
      <c r="BU89" s="240"/>
      <c r="BV89" s="242"/>
      <c r="BW89" s="241"/>
      <c r="BX89" s="240"/>
      <c r="BY89" s="235"/>
      <c r="BZ89" s="239"/>
      <c r="CB89" s="241"/>
      <c r="CC89" s="240"/>
      <c r="CD89" s="242"/>
      <c r="CE89" s="241"/>
      <c r="CF89" s="240"/>
      <c r="CG89" s="242"/>
      <c r="CH89" s="241"/>
      <c r="CI89" s="240"/>
      <c r="CJ89" s="242"/>
      <c r="CK89" s="241"/>
      <c r="CL89" s="240"/>
      <c r="CM89" s="235"/>
      <c r="CN89" s="239"/>
    </row>
    <row r="90" spans="2:92" ht="43.5" thickBot="1" x14ac:dyDescent="0.25">
      <c r="B90" s="1586"/>
      <c r="C90" s="1471"/>
      <c r="D90" s="1437"/>
      <c r="E90" s="1545"/>
      <c r="F90" s="1544"/>
      <c r="G90" s="803" t="str">
        <f>+'Plan de Accion apoyo transversa'!X78</f>
        <v>Capacitación de Contratación estatal realizada</v>
      </c>
      <c r="H90" s="1547"/>
      <c r="J90" s="214" t="e">
        <f>+'Plan de Accion apoyo transversa'!AW78</f>
        <v>#DIV/0!</v>
      </c>
      <c r="K90" s="801" t="str">
        <f>+'Plan de Accion apoyo transversa'!CF78</f>
        <v>No Prog ni Ejec</v>
      </c>
      <c r="L90" s="801" t="s">
        <v>204</v>
      </c>
      <c r="M90" s="801" t="s">
        <v>204</v>
      </c>
      <c r="N90" s="801" t="s">
        <v>204</v>
      </c>
      <c r="O90" s="801" t="s">
        <v>204</v>
      </c>
      <c r="P90" s="213"/>
      <c r="Q90" s="214" t="s">
        <v>204</v>
      </c>
      <c r="R90" s="248" t="str">
        <f>+'Plan de Accion apoyo transversa'!CH78</f>
        <v>No Prog ni Ejec</v>
      </c>
      <c r="S90" s="212" t="s">
        <v>204</v>
      </c>
      <c r="T90" s="801" t="s">
        <v>204</v>
      </c>
      <c r="U90" s="801" t="s">
        <v>204</v>
      </c>
      <c r="V90" s="211" t="str">
        <f t="shared" ref="V90:V91" si="64">+U90</f>
        <v>N.A</v>
      </c>
      <c r="W90" s="213"/>
      <c r="X90" s="214" t="s">
        <v>204</v>
      </c>
      <c r="Y90" s="248" t="str">
        <f>+'Plan de Accion apoyo transversa'!CJ78</f>
        <v>No Prog ni Ejec</v>
      </c>
      <c r="Z90" s="212" t="s">
        <v>204</v>
      </c>
      <c r="AA90" s="217" t="s">
        <v>204</v>
      </c>
      <c r="AB90" s="217" t="s">
        <v>204</v>
      </c>
      <c r="AC90" s="802" t="str">
        <f t="shared" ref="AC90:AC91" si="65">+AB90</f>
        <v>N.A</v>
      </c>
      <c r="AD90" s="213"/>
      <c r="AE90" s="214" t="s">
        <v>204</v>
      </c>
      <c r="AF90" s="248" t="str">
        <f>+'Plan de Accion apoyo transversa'!CL78</f>
        <v>No Prog ni Ejec</v>
      </c>
      <c r="AG90" s="212" t="s">
        <v>204</v>
      </c>
      <c r="AH90" s="248" t="s">
        <v>204</v>
      </c>
      <c r="AI90" s="211" t="s">
        <v>204</v>
      </c>
      <c r="AJ90" s="243"/>
      <c r="AK90" s="1167"/>
      <c r="AL90" s="241"/>
      <c r="AM90" s="240"/>
      <c r="AN90" s="242"/>
      <c r="AO90" s="241"/>
      <c r="AP90" s="240"/>
      <c r="AQ90" s="242"/>
      <c r="AR90" s="241"/>
      <c r="AS90" s="240"/>
      <c r="AT90" s="242"/>
      <c r="AU90" s="241"/>
      <c r="AV90" s="240"/>
      <c r="AW90" s="235"/>
      <c r="AX90" s="239"/>
      <c r="AY90" s="235"/>
      <c r="AZ90" s="241"/>
      <c r="BA90" s="240"/>
      <c r="BB90" s="242"/>
      <c r="BC90" s="241"/>
      <c r="BD90" s="240"/>
      <c r="BE90" s="242"/>
      <c r="BF90" s="241"/>
      <c r="BG90" s="240"/>
      <c r="BH90" s="242"/>
      <c r="BI90" s="241"/>
      <c r="BJ90" s="240"/>
      <c r="BK90" s="235"/>
      <c r="BL90" s="239"/>
      <c r="BN90" s="241"/>
      <c r="BO90" s="240"/>
      <c r="BP90" s="242"/>
      <c r="BQ90" s="241"/>
      <c r="BR90" s="240"/>
      <c r="BS90" s="242"/>
      <c r="BT90" s="241"/>
      <c r="BU90" s="240"/>
      <c r="BV90" s="242"/>
      <c r="BW90" s="241"/>
      <c r="BX90" s="240"/>
      <c r="BY90" s="235"/>
      <c r="BZ90" s="239"/>
      <c r="CB90" s="241"/>
      <c r="CC90" s="240"/>
      <c r="CD90" s="242"/>
      <c r="CE90" s="241"/>
      <c r="CF90" s="240"/>
      <c r="CG90" s="242"/>
      <c r="CH90" s="241"/>
      <c r="CI90" s="240"/>
      <c r="CJ90" s="242"/>
      <c r="CK90" s="241"/>
      <c r="CL90" s="240"/>
      <c r="CM90" s="235"/>
      <c r="CN90" s="239"/>
    </row>
    <row r="91" spans="2:92" ht="29.25" thickBot="1" x14ac:dyDescent="0.25">
      <c r="B91" s="1586"/>
      <c r="C91" s="1471"/>
      <c r="D91" s="1437"/>
      <c r="E91" s="1545"/>
      <c r="F91" s="1544"/>
      <c r="G91" s="803" t="str">
        <f>+'Plan de Accion apoyo transversa'!X79</f>
        <v>Capacitación de Salud publica realizada</v>
      </c>
      <c r="H91" s="1547"/>
      <c r="J91" s="214" t="e">
        <f>+'Plan de Accion apoyo transversa'!AW79</f>
        <v>#DIV/0!</v>
      </c>
      <c r="K91" s="801" t="str">
        <f>+'Plan de Accion apoyo transversa'!CF79</f>
        <v>No Prog ni Ejec</v>
      </c>
      <c r="L91" s="801" t="s">
        <v>204</v>
      </c>
      <c r="M91" s="801" t="s">
        <v>204</v>
      </c>
      <c r="N91" s="801" t="s">
        <v>204</v>
      </c>
      <c r="O91" s="801" t="s">
        <v>204</v>
      </c>
      <c r="P91" s="213"/>
      <c r="Q91" s="214" t="s">
        <v>204</v>
      </c>
      <c r="R91" s="248" t="str">
        <f>+'Plan de Accion apoyo transversa'!CH79</f>
        <v>No Prog ni Ejec</v>
      </c>
      <c r="S91" s="212" t="s">
        <v>204</v>
      </c>
      <c r="T91" s="801" t="s">
        <v>204</v>
      </c>
      <c r="U91" s="801" t="s">
        <v>204</v>
      </c>
      <c r="V91" s="211" t="str">
        <f t="shared" si="64"/>
        <v>N.A</v>
      </c>
      <c r="W91" s="213"/>
      <c r="X91" s="214" t="s">
        <v>204</v>
      </c>
      <c r="Y91" s="248" t="str">
        <f>+'Plan de Accion apoyo transversa'!CJ79</f>
        <v>No Prog ni Ejec</v>
      </c>
      <c r="Z91" s="212" t="s">
        <v>204</v>
      </c>
      <c r="AA91" s="217" t="s">
        <v>204</v>
      </c>
      <c r="AB91" s="217" t="s">
        <v>204</v>
      </c>
      <c r="AC91" s="802" t="str">
        <f t="shared" si="65"/>
        <v>N.A</v>
      </c>
      <c r="AD91" s="213"/>
      <c r="AE91" s="214" t="s">
        <v>204</v>
      </c>
      <c r="AF91" s="248" t="str">
        <f>+'Plan de Accion apoyo transversa'!CL79</f>
        <v>No Prog ni Ejec</v>
      </c>
      <c r="AG91" s="212" t="s">
        <v>204</v>
      </c>
      <c r="AH91" s="248" t="s">
        <v>204</v>
      </c>
      <c r="AI91" s="211" t="s">
        <v>204</v>
      </c>
      <c r="AJ91" s="243"/>
      <c r="AK91" s="1167"/>
      <c r="AL91" s="241"/>
      <c r="AM91" s="240"/>
      <c r="AN91" s="242"/>
      <c r="AO91" s="241"/>
      <c r="AP91" s="240"/>
      <c r="AQ91" s="242"/>
      <c r="AR91" s="241"/>
      <c r="AS91" s="240"/>
      <c r="AT91" s="242"/>
      <c r="AU91" s="241"/>
      <c r="AV91" s="240"/>
      <c r="AW91" s="235"/>
      <c r="AX91" s="239"/>
      <c r="AY91" s="235"/>
      <c r="AZ91" s="241"/>
      <c r="BA91" s="240"/>
      <c r="BB91" s="242"/>
      <c r="BC91" s="241"/>
      <c r="BD91" s="240"/>
      <c r="BE91" s="242"/>
      <c r="BF91" s="241"/>
      <c r="BG91" s="240"/>
      <c r="BH91" s="242"/>
      <c r="BI91" s="241"/>
      <c r="BJ91" s="240"/>
      <c r="BK91" s="235"/>
      <c r="BL91" s="239"/>
      <c r="BN91" s="241"/>
      <c r="BO91" s="240"/>
      <c r="BP91" s="242"/>
      <c r="BQ91" s="241"/>
      <c r="BR91" s="240"/>
      <c r="BS91" s="242"/>
      <c r="BT91" s="241"/>
      <c r="BU91" s="240"/>
      <c r="BV91" s="242"/>
      <c r="BW91" s="241"/>
      <c r="BX91" s="240"/>
      <c r="BY91" s="235"/>
      <c r="BZ91" s="239"/>
      <c r="CB91" s="241"/>
      <c r="CC91" s="240"/>
      <c r="CD91" s="242"/>
      <c r="CE91" s="241"/>
      <c r="CF91" s="240"/>
      <c r="CG91" s="242"/>
      <c r="CH91" s="241"/>
      <c r="CI91" s="240"/>
      <c r="CJ91" s="242"/>
      <c r="CK91" s="241"/>
      <c r="CL91" s="240"/>
      <c r="CM91" s="235"/>
      <c r="CN91" s="239"/>
    </row>
    <row r="92" spans="2:92" ht="29.25" thickBot="1" x14ac:dyDescent="0.25">
      <c r="B92" s="1586"/>
      <c r="C92" s="1471"/>
      <c r="D92" s="1437"/>
      <c r="E92" s="1545"/>
      <c r="F92" s="1544"/>
      <c r="G92" s="315" t="str">
        <f>+'Plan de Accion apoyo transversa'!X80</f>
        <v>Capacitación de Big Data realizada</v>
      </c>
      <c r="H92" s="1547"/>
      <c r="J92" s="1514" t="e">
        <f>+'Plan de Accion apoyo transversa'!AW80</f>
        <v>#DIV/0!</v>
      </c>
      <c r="K92" s="1447" t="str">
        <f>+'Plan de Accion apoyo transversa'!CF80</f>
        <v>No Prog ni Ejec</v>
      </c>
      <c r="L92" s="1447" t="s">
        <v>204</v>
      </c>
      <c r="M92" s="1447">
        <f>+'Plan de Accion apoyo transversa'!AY80</f>
        <v>0</v>
      </c>
      <c r="N92" s="1447">
        <f t="shared" ref="N92:N144" si="66">IF(M92&gt;100%,100%,M92)</f>
        <v>0</v>
      </c>
      <c r="O92" s="1447" t="s">
        <v>204</v>
      </c>
      <c r="P92" s="213"/>
      <c r="Q92" s="1514">
        <f>+'Plan de Accion apoyo transversa'!BG80</f>
        <v>1.1573154290429122</v>
      </c>
      <c r="R92" s="1447">
        <f>+'Plan de Accion apoyo transversa'!CH80</f>
        <v>1.1573154290429122</v>
      </c>
      <c r="S92" s="1447">
        <f>IF(R92&gt;100%,100%,R92)</f>
        <v>1</v>
      </c>
      <c r="T92" s="1447">
        <f>+'Plan de Accion apoyo transversa'!BI80</f>
        <v>0.19288590484048537</v>
      </c>
      <c r="U92" s="1447">
        <f t="shared" si="62"/>
        <v>0.19288590484048537</v>
      </c>
      <c r="V92" s="1450">
        <f t="shared" si="63"/>
        <v>0.19288590484048537</v>
      </c>
      <c r="W92" s="213">
        <v>1</v>
      </c>
      <c r="X92" s="1514">
        <f>+'Plan de Accion apoyo transversa'!BQ80</f>
        <v>0.9039409559936028</v>
      </c>
      <c r="Y92" s="1447">
        <f>+'Plan de Accion apoyo transversa'!CJ80</f>
        <v>0.9039409559936028</v>
      </c>
      <c r="Z92" s="1447">
        <f>IF(Y92&gt;100%,100%,Y92)</f>
        <v>0.9039409559936028</v>
      </c>
      <c r="AA92" s="1453">
        <f>+'Plan de Accion apoyo transversa'!BS80</f>
        <v>0.64485638283728675</v>
      </c>
      <c r="AB92" s="1453">
        <f t="shared" si="61"/>
        <v>0.64485638283728675</v>
      </c>
      <c r="AC92" s="1456">
        <f t="shared" ref="AC92" si="67">+AB92</f>
        <v>0.64485638283728675</v>
      </c>
      <c r="AD92" s="213"/>
      <c r="AE92" s="1514">
        <f>+'Plan de Accion apoyo transversa'!CA80</f>
        <v>1.0654308514881397</v>
      </c>
      <c r="AF92" s="1447">
        <f>+'Plan de Accion apoyo transversa'!CL80</f>
        <v>1.0654308514881397</v>
      </c>
      <c r="AG92" s="1447">
        <f>IF(AF92&gt;100%,100%,AF92)</f>
        <v>1</v>
      </c>
      <c r="AH92" s="1447">
        <f>+'Plan de Accion apoyo transversa'!CC80</f>
        <v>1</v>
      </c>
      <c r="AI92" s="1450">
        <f t="shared" ref="AI92:AI123" si="68">IF(AH92&gt;100%,100%,AH92)</f>
        <v>1</v>
      </c>
      <c r="AJ92" s="243"/>
      <c r="AK92" s="1167">
        <v>1</v>
      </c>
      <c r="AL92" s="241"/>
      <c r="AM92" s="240"/>
      <c r="AN92" s="242"/>
      <c r="AO92" s="241"/>
      <c r="AP92" s="240"/>
      <c r="AQ92" s="242"/>
      <c r="AR92" s="241"/>
      <c r="AS92" s="240"/>
      <c r="AT92" s="242"/>
      <c r="AU92" s="241"/>
      <c r="AV92" s="240"/>
      <c r="AW92" s="235"/>
      <c r="AX92" s="239"/>
      <c r="AY92" s="235"/>
      <c r="AZ92" s="241"/>
      <c r="BA92" s="240"/>
      <c r="BB92" s="242"/>
      <c r="BC92" s="241"/>
      <c r="BD92" s="240"/>
      <c r="BE92" s="242"/>
      <c r="BF92" s="241"/>
      <c r="BG92" s="240"/>
      <c r="BH92" s="242"/>
      <c r="BI92" s="241"/>
      <c r="BJ92" s="240"/>
      <c r="BK92" s="235"/>
      <c r="BL92" s="239"/>
      <c r="BN92" s="241"/>
      <c r="BO92" s="240"/>
      <c r="BP92" s="242"/>
      <c r="BQ92" s="241"/>
      <c r="BR92" s="240"/>
      <c r="BS92" s="242"/>
      <c r="BT92" s="241"/>
      <c r="BU92" s="240"/>
      <c r="BV92" s="242"/>
      <c r="BW92" s="241"/>
      <c r="BX92" s="240"/>
      <c r="BY92" s="235"/>
      <c r="BZ92" s="239"/>
      <c r="CB92" s="241"/>
      <c r="CC92" s="240"/>
      <c r="CD92" s="242"/>
      <c r="CE92" s="241"/>
      <c r="CF92" s="240"/>
      <c r="CG92" s="242"/>
      <c r="CH92" s="241"/>
      <c r="CI92" s="240"/>
      <c r="CJ92" s="242"/>
      <c r="CK92" s="241"/>
      <c r="CL92" s="240"/>
      <c r="CM92" s="235"/>
      <c r="CN92" s="239"/>
    </row>
    <row r="93" spans="2:92" ht="72" thickBot="1" x14ac:dyDescent="0.25">
      <c r="B93" s="1586"/>
      <c r="C93" s="1471"/>
      <c r="D93" s="1437"/>
      <c r="E93" s="1545"/>
      <c r="F93" s="1544"/>
      <c r="G93" s="315" t="str">
        <f>+'Plan de Accion apoyo transversa'!X81</f>
        <v>Capacitación de Finanzas, contabilidad básicas, Presupuesto Público, Gestión Presupuestal EICE realizada</v>
      </c>
      <c r="H93" s="1547"/>
      <c r="J93" s="1515"/>
      <c r="K93" s="1448"/>
      <c r="L93" s="1448"/>
      <c r="M93" s="1448"/>
      <c r="N93" s="1448"/>
      <c r="O93" s="1448"/>
      <c r="P93" s="213"/>
      <c r="Q93" s="1515"/>
      <c r="R93" s="1448"/>
      <c r="S93" s="1448"/>
      <c r="T93" s="1448"/>
      <c r="U93" s="1448"/>
      <c r="V93" s="1451"/>
      <c r="W93" s="213"/>
      <c r="X93" s="1515"/>
      <c r="Y93" s="1448"/>
      <c r="Z93" s="1448"/>
      <c r="AA93" s="1454"/>
      <c r="AB93" s="1454"/>
      <c r="AC93" s="1457"/>
      <c r="AD93" s="213"/>
      <c r="AE93" s="1515"/>
      <c r="AF93" s="1448"/>
      <c r="AG93" s="1448"/>
      <c r="AH93" s="1448"/>
      <c r="AI93" s="1451"/>
      <c r="AJ93" s="243"/>
      <c r="AK93" s="1167"/>
      <c r="AL93" s="241"/>
      <c r="AM93" s="240"/>
      <c r="AN93" s="242"/>
      <c r="AO93" s="241"/>
      <c r="AP93" s="240"/>
      <c r="AQ93" s="242"/>
      <c r="AR93" s="241"/>
      <c r="AS93" s="240"/>
      <c r="AT93" s="242"/>
      <c r="AU93" s="241"/>
      <c r="AV93" s="240"/>
      <c r="AW93" s="235"/>
      <c r="AX93" s="239"/>
      <c r="AY93" s="235"/>
      <c r="AZ93" s="241"/>
      <c r="BA93" s="240"/>
      <c r="BB93" s="242"/>
      <c r="BC93" s="241"/>
      <c r="BD93" s="240"/>
      <c r="BE93" s="242"/>
      <c r="BF93" s="241"/>
      <c r="BG93" s="240"/>
      <c r="BH93" s="242"/>
      <c r="BI93" s="241"/>
      <c r="BJ93" s="240"/>
      <c r="BK93" s="235"/>
      <c r="BL93" s="239"/>
      <c r="BN93" s="241"/>
      <c r="BO93" s="240"/>
      <c r="BP93" s="242"/>
      <c r="BQ93" s="241"/>
      <c r="BR93" s="240"/>
      <c r="BS93" s="242"/>
      <c r="BT93" s="241"/>
      <c r="BU93" s="240"/>
      <c r="BV93" s="242"/>
      <c r="BW93" s="241"/>
      <c r="BX93" s="240"/>
      <c r="BY93" s="235"/>
      <c r="BZ93" s="239"/>
      <c r="CB93" s="241"/>
      <c r="CC93" s="240"/>
      <c r="CD93" s="242"/>
      <c r="CE93" s="241"/>
      <c r="CF93" s="240"/>
      <c r="CG93" s="242"/>
      <c r="CH93" s="241"/>
      <c r="CI93" s="240"/>
      <c r="CJ93" s="242"/>
      <c r="CK93" s="241"/>
      <c r="CL93" s="240"/>
      <c r="CM93" s="235"/>
      <c r="CN93" s="239"/>
    </row>
    <row r="94" spans="2:92" ht="29.25" thickBot="1" x14ac:dyDescent="0.25">
      <c r="B94" s="1586"/>
      <c r="C94" s="1471"/>
      <c r="D94" s="1437"/>
      <c r="E94" s="1545"/>
      <c r="F94" s="1544"/>
      <c r="G94" s="315" t="str">
        <f>+'Plan de Accion apoyo transversa'!X82</f>
        <v>Capacitación de Estadística realizada</v>
      </c>
      <c r="H94" s="1547"/>
      <c r="J94" s="1515"/>
      <c r="K94" s="1448"/>
      <c r="L94" s="1448"/>
      <c r="M94" s="1448"/>
      <c r="N94" s="1448"/>
      <c r="O94" s="1448"/>
      <c r="P94" s="213"/>
      <c r="Q94" s="1515"/>
      <c r="R94" s="1448"/>
      <c r="S94" s="1448"/>
      <c r="T94" s="1448"/>
      <c r="U94" s="1448"/>
      <c r="V94" s="1451"/>
      <c r="W94" s="213"/>
      <c r="X94" s="1515"/>
      <c r="Y94" s="1448"/>
      <c r="Z94" s="1448"/>
      <c r="AA94" s="1454"/>
      <c r="AB94" s="1454"/>
      <c r="AC94" s="1457"/>
      <c r="AD94" s="213"/>
      <c r="AE94" s="1515"/>
      <c r="AF94" s="1448"/>
      <c r="AG94" s="1448"/>
      <c r="AH94" s="1448"/>
      <c r="AI94" s="1451"/>
      <c r="AJ94" s="243"/>
      <c r="AK94" s="1167"/>
      <c r="AL94" s="241"/>
      <c r="AM94" s="240"/>
      <c r="AN94" s="242"/>
      <c r="AO94" s="241"/>
      <c r="AP94" s="240"/>
      <c r="AQ94" s="242"/>
      <c r="AR94" s="241"/>
      <c r="AS94" s="240"/>
      <c r="AT94" s="242"/>
      <c r="AU94" s="241"/>
      <c r="AV94" s="240"/>
      <c r="AW94" s="235"/>
      <c r="AX94" s="239"/>
      <c r="AY94" s="235"/>
      <c r="AZ94" s="241"/>
      <c r="BA94" s="240"/>
      <c r="BB94" s="242"/>
      <c r="BC94" s="241"/>
      <c r="BD94" s="240"/>
      <c r="BE94" s="242"/>
      <c r="BF94" s="241"/>
      <c r="BG94" s="240"/>
      <c r="BH94" s="242"/>
      <c r="BI94" s="241"/>
      <c r="BJ94" s="240"/>
      <c r="BK94" s="235"/>
      <c r="BL94" s="239"/>
      <c r="BN94" s="241"/>
      <c r="BO94" s="240"/>
      <c r="BP94" s="242"/>
      <c r="BQ94" s="241"/>
      <c r="BR94" s="240"/>
      <c r="BS94" s="242"/>
      <c r="BT94" s="241"/>
      <c r="BU94" s="240"/>
      <c r="BV94" s="242"/>
      <c r="BW94" s="241"/>
      <c r="BX94" s="240"/>
      <c r="BY94" s="235"/>
      <c r="BZ94" s="239"/>
      <c r="CB94" s="241"/>
      <c r="CC94" s="240"/>
      <c r="CD94" s="242"/>
      <c r="CE94" s="241"/>
      <c r="CF94" s="240"/>
      <c r="CG94" s="242"/>
      <c r="CH94" s="241"/>
      <c r="CI94" s="240"/>
      <c r="CJ94" s="242"/>
      <c r="CK94" s="241"/>
      <c r="CL94" s="240"/>
      <c r="CM94" s="235"/>
      <c r="CN94" s="239"/>
    </row>
    <row r="95" spans="2:92" ht="43.5" thickBot="1" x14ac:dyDescent="0.25">
      <c r="B95" s="1586"/>
      <c r="C95" s="1471"/>
      <c r="D95" s="1437"/>
      <c r="E95" s="1545"/>
      <c r="F95" s="1544"/>
      <c r="G95" s="315" t="str">
        <f>+'Plan de Accion apoyo transversa'!X83</f>
        <v>Capacitación de Trabajo en equipo, comunicación asertiva realizada.</v>
      </c>
      <c r="H95" s="1547"/>
      <c r="J95" s="1515"/>
      <c r="K95" s="1448"/>
      <c r="L95" s="1448"/>
      <c r="M95" s="1448"/>
      <c r="N95" s="1448"/>
      <c r="O95" s="1448"/>
      <c r="P95" s="213"/>
      <c r="Q95" s="1515"/>
      <c r="R95" s="1448"/>
      <c r="S95" s="1448"/>
      <c r="T95" s="1448"/>
      <c r="U95" s="1448"/>
      <c r="V95" s="1451"/>
      <c r="W95" s="213"/>
      <c r="X95" s="1515"/>
      <c r="Y95" s="1448"/>
      <c r="Z95" s="1448"/>
      <c r="AA95" s="1454"/>
      <c r="AB95" s="1454"/>
      <c r="AC95" s="1457"/>
      <c r="AD95" s="213"/>
      <c r="AE95" s="1515"/>
      <c r="AF95" s="1448"/>
      <c r="AG95" s="1448"/>
      <c r="AH95" s="1448"/>
      <c r="AI95" s="1451"/>
      <c r="AJ95" s="243"/>
      <c r="AK95" s="1167"/>
      <c r="AL95" s="241"/>
      <c r="AM95" s="240"/>
      <c r="AN95" s="242"/>
      <c r="AO95" s="241"/>
      <c r="AP95" s="240"/>
      <c r="AQ95" s="242"/>
      <c r="AR95" s="241"/>
      <c r="AS95" s="240"/>
      <c r="AT95" s="242"/>
      <c r="AU95" s="241"/>
      <c r="AV95" s="240"/>
      <c r="AW95" s="235"/>
      <c r="AX95" s="239"/>
      <c r="AY95" s="235"/>
      <c r="AZ95" s="241"/>
      <c r="BA95" s="240"/>
      <c r="BB95" s="242"/>
      <c r="BC95" s="241"/>
      <c r="BD95" s="240"/>
      <c r="BE95" s="242"/>
      <c r="BF95" s="241"/>
      <c r="BG95" s="240"/>
      <c r="BH95" s="242"/>
      <c r="BI95" s="241"/>
      <c r="BJ95" s="240"/>
      <c r="BK95" s="235"/>
      <c r="BL95" s="239"/>
      <c r="BN95" s="241"/>
      <c r="BO95" s="240"/>
      <c r="BP95" s="242"/>
      <c r="BQ95" s="241"/>
      <c r="BR95" s="240"/>
      <c r="BS95" s="242"/>
      <c r="BT95" s="241"/>
      <c r="BU95" s="240"/>
      <c r="BV95" s="242"/>
      <c r="BW95" s="241"/>
      <c r="BX95" s="240"/>
      <c r="BY95" s="235"/>
      <c r="BZ95" s="239"/>
      <c r="CB95" s="241"/>
      <c r="CC95" s="240"/>
      <c r="CD95" s="242"/>
      <c r="CE95" s="241"/>
      <c r="CF95" s="240"/>
      <c r="CG95" s="242"/>
      <c r="CH95" s="241"/>
      <c r="CI95" s="240"/>
      <c r="CJ95" s="242"/>
      <c r="CK95" s="241"/>
      <c r="CL95" s="240"/>
      <c r="CM95" s="235"/>
      <c r="CN95" s="239"/>
    </row>
    <row r="96" spans="2:92" ht="29.25" thickBot="1" x14ac:dyDescent="0.25">
      <c r="B96" s="1586"/>
      <c r="C96" s="1471"/>
      <c r="D96" s="1437"/>
      <c r="E96" s="1545"/>
      <c r="F96" s="1544"/>
      <c r="G96" s="315" t="str">
        <f>+'Plan de Accion apoyo transversa'!X84</f>
        <v>Capacitación de Redacción realizada</v>
      </c>
      <c r="H96" s="1547"/>
      <c r="J96" s="1515"/>
      <c r="K96" s="1448"/>
      <c r="L96" s="1448"/>
      <c r="M96" s="1448"/>
      <c r="N96" s="1448"/>
      <c r="O96" s="1448"/>
      <c r="P96" s="213"/>
      <c r="Q96" s="1515"/>
      <c r="R96" s="1448"/>
      <c r="S96" s="1448"/>
      <c r="T96" s="1448"/>
      <c r="U96" s="1448"/>
      <c r="V96" s="1451"/>
      <c r="W96" s="213"/>
      <c r="X96" s="1515"/>
      <c r="Y96" s="1448"/>
      <c r="Z96" s="1448"/>
      <c r="AA96" s="1454"/>
      <c r="AB96" s="1454"/>
      <c r="AC96" s="1457"/>
      <c r="AD96" s="213"/>
      <c r="AE96" s="1515"/>
      <c r="AF96" s="1448"/>
      <c r="AG96" s="1448"/>
      <c r="AH96" s="1448"/>
      <c r="AI96" s="1451"/>
      <c r="AJ96" s="243"/>
      <c r="AK96" s="1167"/>
      <c r="AL96" s="241"/>
      <c r="AM96" s="240"/>
      <c r="AN96" s="242"/>
      <c r="AO96" s="241"/>
      <c r="AP96" s="240"/>
      <c r="AQ96" s="242"/>
      <c r="AR96" s="241"/>
      <c r="AS96" s="240"/>
      <c r="AT96" s="242"/>
      <c r="AU96" s="241"/>
      <c r="AV96" s="240"/>
      <c r="AW96" s="235"/>
      <c r="AX96" s="239"/>
      <c r="AY96" s="235"/>
      <c r="AZ96" s="241"/>
      <c r="BA96" s="240"/>
      <c r="BB96" s="242"/>
      <c r="BC96" s="241"/>
      <c r="BD96" s="240"/>
      <c r="BE96" s="242"/>
      <c r="BF96" s="241"/>
      <c r="BG96" s="240"/>
      <c r="BH96" s="242"/>
      <c r="BI96" s="241"/>
      <c r="BJ96" s="240"/>
      <c r="BK96" s="235"/>
      <c r="BL96" s="239"/>
      <c r="BN96" s="241"/>
      <c r="BO96" s="240"/>
      <c r="BP96" s="242"/>
      <c r="BQ96" s="241"/>
      <c r="BR96" s="240"/>
      <c r="BS96" s="242"/>
      <c r="BT96" s="241"/>
      <c r="BU96" s="240"/>
      <c r="BV96" s="242"/>
      <c r="BW96" s="241"/>
      <c r="BX96" s="240"/>
      <c r="BY96" s="235"/>
      <c r="BZ96" s="239"/>
      <c r="CB96" s="241"/>
      <c r="CC96" s="240"/>
      <c r="CD96" s="242"/>
      <c r="CE96" s="241"/>
      <c r="CF96" s="240"/>
      <c r="CG96" s="242"/>
      <c r="CH96" s="241"/>
      <c r="CI96" s="240"/>
      <c r="CJ96" s="242"/>
      <c r="CK96" s="241"/>
      <c r="CL96" s="240"/>
      <c r="CM96" s="235"/>
      <c r="CN96" s="239"/>
    </row>
    <row r="97" spans="2:92" ht="29.25" thickBot="1" x14ac:dyDescent="0.25">
      <c r="B97" s="1586"/>
      <c r="C97" s="1471"/>
      <c r="D97" s="1437"/>
      <c r="E97" s="1545"/>
      <c r="F97" s="1544"/>
      <c r="G97" s="315" t="str">
        <f>+'Plan de Accion apoyo transversa'!X85</f>
        <v>Capacitación de Código de Integridad realizada</v>
      </c>
      <c r="H97" s="1547"/>
      <c r="J97" s="1516"/>
      <c r="K97" s="1449"/>
      <c r="L97" s="1449"/>
      <c r="M97" s="1449"/>
      <c r="N97" s="1449"/>
      <c r="O97" s="1449"/>
      <c r="P97" s="213"/>
      <c r="Q97" s="1516"/>
      <c r="R97" s="1449"/>
      <c r="S97" s="1449"/>
      <c r="T97" s="1449"/>
      <c r="U97" s="1449"/>
      <c r="V97" s="1452"/>
      <c r="W97" s="213"/>
      <c r="X97" s="1516"/>
      <c r="Y97" s="1449"/>
      <c r="Z97" s="1449"/>
      <c r="AA97" s="1455"/>
      <c r="AB97" s="1455"/>
      <c r="AC97" s="1458"/>
      <c r="AD97" s="213"/>
      <c r="AE97" s="1516"/>
      <c r="AF97" s="1449"/>
      <c r="AG97" s="1449"/>
      <c r="AH97" s="1449"/>
      <c r="AI97" s="1452"/>
      <c r="AJ97" s="243"/>
      <c r="AK97" s="1167"/>
      <c r="AL97" s="241"/>
      <c r="AM97" s="240"/>
      <c r="AN97" s="242"/>
      <c r="AO97" s="241"/>
      <c r="AP97" s="240"/>
      <c r="AQ97" s="242"/>
      <c r="AR97" s="241"/>
      <c r="AS97" s="240"/>
      <c r="AT97" s="242"/>
      <c r="AU97" s="241"/>
      <c r="AV97" s="240"/>
      <c r="AW97" s="235"/>
      <c r="AX97" s="239"/>
      <c r="AY97" s="235"/>
      <c r="AZ97" s="241"/>
      <c r="BA97" s="240"/>
      <c r="BB97" s="242"/>
      <c r="BC97" s="241"/>
      <c r="BD97" s="240"/>
      <c r="BE97" s="242"/>
      <c r="BF97" s="241"/>
      <c r="BG97" s="240"/>
      <c r="BH97" s="242"/>
      <c r="BI97" s="241"/>
      <c r="BJ97" s="240"/>
      <c r="BK97" s="235"/>
      <c r="BL97" s="239"/>
      <c r="BN97" s="241"/>
      <c r="BO97" s="240"/>
      <c r="BP97" s="242"/>
      <c r="BQ97" s="241"/>
      <c r="BR97" s="240"/>
      <c r="BS97" s="242"/>
      <c r="BT97" s="241"/>
      <c r="BU97" s="240"/>
      <c r="BV97" s="242"/>
      <c r="BW97" s="241"/>
      <c r="BX97" s="240"/>
      <c r="BY97" s="235"/>
      <c r="BZ97" s="239"/>
      <c r="CB97" s="241"/>
      <c r="CC97" s="240"/>
      <c r="CD97" s="242"/>
      <c r="CE97" s="241"/>
      <c r="CF97" s="240"/>
      <c r="CG97" s="242"/>
      <c r="CH97" s="241"/>
      <c r="CI97" s="240"/>
      <c r="CJ97" s="242"/>
      <c r="CK97" s="241"/>
      <c r="CL97" s="240"/>
      <c r="CM97" s="235"/>
      <c r="CN97" s="239"/>
    </row>
    <row r="98" spans="2:92" ht="21" customHeight="1" thickBot="1" x14ac:dyDescent="0.25">
      <c r="B98" s="1586"/>
      <c r="C98" s="1471"/>
      <c r="D98" s="1437"/>
      <c r="E98" s="1545"/>
      <c r="F98" s="1544" t="s">
        <v>1178</v>
      </c>
      <c r="G98" s="315" t="str">
        <f>+'Plan de Accion apoyo transversa'!X94</f>
        <v>Olimpiada deportiva de Microfútbol</v>
      </c>
      <c r="H98" s="1547"/>
      <c r="J98" s="1514" t="e">
        <f>+'Plan de Accion apoyo transversa'!AW94</f>
        <v>#DIV/0!</v>
      </c>
      <c r="K98" s="1447" t="str">
        <f>+'Plan de Accion apoyo transversa'!CF94</f>
        <v>No Prog ni Ejec</v>
      </c>
      <c r="L98" s="1447" t="s">
        <v>204</v>
      </c>
      <c r="M98" s="1447">
        <f>+'Plan de Accion apoyo transversa'!AY94</f>
        <v>0</v>
      </c>
      <c r="N98" s="1447">
        <f t="shared" si="66"/>
        <v>0</v>
      </c>
      <c r="O98" s="1447" t="s">
        <v>204</v>
      </c>
      <c r="P98" s="213"/>
      <c r="Q98" s="1514">
        <f>+'Plan de Accion apoyo transversa'!BG94</f>
        <v>0.49600855071979694</v>
      </c>
      <c r="R98" s="1447">
        <f>+'Plan de Accion apoyo transversa'!CH94</f>
        <v>0.49600855071979694</v>
      </c>
      <c r="S98" s="1447">
        <f>IF(R98&gt;100%,100%,R98)</f>
        <v>0.49600855071979694</v>
      </c>
      <c r="T98" s="1447">
        <f>+'Plan de Accion apoyo transversa'!BI94</f>
        <v>5.5112061191088545E-2</v>
      </c>
      <c r="U98" s="1447">
        <f t="shared" si="62"/>
        <v>5.5112061191088545E-2</v>
      </c>
      <c r="V98" s="1450">
        <f t="shared" ref="V98:V123" si="69">+U98</f>
        <v>5.5112061191088545E-2</v>
      </c>
      <c r="W98" s="213"/>
      <c r="X98" s="1514">
        <f>+'Plan de Accion apoyo transversa'!BQ94</f>
        <v>0</v>
      </c>
      <c r="Y98" s="1447">
        <f>+'Plan de Accion apoyo transversa'!CJ94</f>
        <v>0</v>
      </c>
      <c r="Z98" s="1447">
        <f>IF(Y98&gt;100%,100%,Y98)</f>
        <v>0</v>
      </c>
      <c r="AA98" s="1453">
        <f>+'Plan de Accion apoyo transversa'!BS94</f>
        <v>5.5112061191088545E-2</v>
      </c>
      <c r="AB98" s="1453">
        <f t="shared" si="61"/>
        <v>5.5112061191088545E-2</v>
      </c>
      <c r="AC98" s="1456">
        <f>+AB98</f>
        <v>5.5112061191088545E-2</v>
      </c>
      <c r="AD98" s="213"/>
      <c r="AE98" s="1514">
        <f>+'Plan de Accion apoyo transversa'!CA94</f>
        <v>1.2270349711079194</v>
      </c>
      <c r="AF98" s="1447">
        <f>+'Plan de Accion apoyo transversa'!CL94</f>
        <v>1.2270349711079194</v>
      </c>
      <c r="AG98" s="1447">
        <f>IF(AF98&gt;100%,100%,AF98)</f>
        <v>1</v>
      </c>
      <c r="AH98" s="1447">
        <f>+'Plan de Accion apoyo transversa'!CC94</f>
        <v>0.73679815625104383</v>
      </c>
      <c r="AI98" s="1450">
        <f t="shared" si="68"/>
        <v>0.73679815625104383</v>
      </c>
      <c r="AJ98" s="243"/>
      <c r="AK98" s="1167"/>
      <c r="AL98" s="241"/>
      <c r="AM98" s="240"/>
      <c r="AN98" s="242"/>
      <c r="AO98" s="241"/>
      <c r="AP98" s="240"/>
      <c r="AQ98" s="242"/>
      <c r="AR98" s="241"/>
      <c r="AS98" s="240"/>
      <c r="AT98" s="242"/>
      <c r="AU98" s="241"/>
      <c r="AV98" s="240"/>
      <c r="AW98" s="235"/>
      <c r="AX98" s="239"/>
      <c r="AY98" s="235"/>
      <c r="AZ98" s="241"/>
      <c r="BA98" s="240"/>
      <c r="BB98" s="242"/>
      <c r="BC98" s="241"/>
      <c r="BD98" s="240"/>
      <c r="BE98" s="242"/>
      <c r="BF98" s="241"/>
      <c r="BG98" s="240"/>
      <c r="BH98" s="242"/>
      <c r="BI98" s="241"/>
      <c r="BJ98" s="240"/>
      <c r="BK98" s="235"/>
      <c r="BL98" s="239"/>
      <c r="BN98" s="241"/>
      <c r="BO98" s="240"/>
      <c r="BP98" s="242"/>
      <c r="BQ98" s="241"/>
      <c r="BR98" s="240"/>
      <c r="BS98" s="242"/>
      <c r="BT98" s="241"/>
      <c r="BU98" s="240"/>
      <c r="BV98" s="242"/>
      <c r="BW98" s="241"/>
      <c r="BX98" s="240"/>
      <c r="BY98" s="235"/>
      <c r="BZ98" s="239"/>
      <c r="CB98" s="241"/>
      <c r="CC98" s="240"/>
      <c r="CD98" s="242"/>
      <c r="CE98" s="241"/>
      <c r="CF98" s="240"/>
      <c r="CG98" s="242"/>
      <c r="CH98" s="241"/>
      <c r="CI98" s="240"/>
      <c r="CJ98" s="242"/>
      <c r="CK98" s="241"/>
      <c r="CL98" s="240"/>
      <c r="CM98" s="235"/>
      <c r="CN98" s="239"/>
    </row>
    <row r="99" spans="2:92" ht="21" customHeight="1" thickBot="1" x14ac:dyDescent="0.25">
      <c r="B99" s="1586"/>
      <c r="C99" s="1471"/>
      <c r="D99" s="1437"/>
      <c r="E99" s="1545"/>
      <c r="F99" s="1544"/>
      <c r="G99" s="315" t="str">
        <f>+'Plan de Accion apoyo transversa'!X95</f>
        <v>Olimpiada deportiva de Voleibol</v>
      </c>
      <c r="H99" s="1547"/>
      <c r="J99" s="1515"/>
      <c r="K99" s="1448"/>
      <c r="L99" s="1448"/>
      <c r="M99" s="1448"/>
      <c r="N99" s="1448"/>
      <c r="O99" s="1448"/>
      <c r="P99" s="213"/>
      <c r="Q99" s="1515"/>
      <c r="R99" s="1448"/>
      <c r="S99" s="1448"/>
      <c r="T99" s="1448"/>
      <c r="U99" s="1448"/>
      <c r="V99" s="1451"/>
      <c r="W99" s="213"/>
      <c r="X99" s="1515"/>
      <c r="Y99" s="1448"/>
      <c r="Z99" s="1448"/>
      <c r="AA99" s="1454"/>
      <c r="AB99" s="1454"/>
      <c r="AC99" s="1457"/>
      <c r="AD99" s="213"/>
      <c r="AE99" s="1515"/>
      <c r="AF99" s="1448"/>
      <c r="AG99" s="1448"/>
      <c r="AH99" s="1448"/>
      <c r="AI99" s="1451"/>
      <c r="AJ99" s="243"/>
      <c r="AK99" s="1167"/>
      <c r="AL99" s="241"/>
      <c r="AM99" s="240"/>
      <c r="AN99" s="242"/>
      <c r="AO99" s="241"/>
      <c r="AP99" s="240"/>
      <c r="AQ99" s="242"/>
      <c r="AR99" s="241"/>
      <c r="AS99" s="240"/>
      <c r="AT99" s="242"/>
      <c r="AU99" s="241"/>
      <c r="AV99" s="240"/>
      <c r="AW99" s="235"/>
      <c r="AX99" s="239"/>
      <c r="AY99" s="235"/>
      <c r="AZ99" s="241"/>
      <c r="BA99" s="240"/>
      <c r="BB99" s="242"/>
      <c r="BC99" s="241"/>
      <c r="BD99" s="240"/>
      <c r="BE99" s="242"/>
      <c r="BF99" s="241"/>
      <c r="BG99" s="240"/>
      <c r="BH99" s="242"/>
      <c r="BI99" s="241"/>
      <c r="BJ99" s="240"/>
      <c r="BK99" s="235"/>
      <c r="BL99" s="239"/>
      <c r="BN99" s="241"/>
      <c r="BO99" s="240"/>
      <c r="BP99" s="242"/>
      <c r="BQ99" s="241"/>
      <c r="BR99" s="240"/>
      <c r="BS99" s="242"/>
      <c r="BT99" s="241"/>
      <c r="BU99" s="240"/>
      <c r="BV99" s="242"/>
      <c r="BW99" s="241"/>
      <c r="BX99" s="240"/>
      <c r="BY99" s="235"/>
      <c r="BZ99" s="239"/>
      <c r="CB99" s="241"/>
      <c r="CC99" s="240"/>
      <c r="CD99" s="242"/>
      <c r="CE99" s="241"/>
      <c r="CF99" s="240"/>
      <c r="CG99" s="242"/>
      <c r="CH99" s="241"/>
      <c r="CI99" s="240"/>
      <c r="CJ99" s="242"/>
      <c r="CK99" s="241"/>
      <c r="CL99" s="240"/>
      <c r="CM99" s="235"/>
      <c r="CN99" s="239"/>
    </row>
    <row r="100" spans="2:92" ht="29.25" thickBot="1" x14ac:dyDescent="0.25">
      <c r="B100" s="1586"/>
      <c r="C100" s="1471"/>
      <c r="D100" s="1437"/>
      <c r="E100" s="1545"/>
      <c r="F100" s="1544"/>
      <c r="G100" s="315" t="str">
        <f>+'Plan de Accion apoyo transversa'!X96</f>
        <v>Olimpiada deportiva de Tenis de mesa</v>
      </c>
      <c r="H100" s="1547"/>
      <c r="J100" s="1515"/>
      <c r="K100" s="1448"/>
      <c r="L100" s="1448"/>
      <c r="M100" s="1448"/>
      <c r="N100" s="1448"/>
      <c r="O100" s="1448"/>
      <c r="P100" s="213"/>
      <c r="Q100" s="1515"/>
      <c r="R100" s="1448"/>
      <c r="S100" s="1448"/>
      <c r="T100" s="1448"/>
      <c r="U100" s="1448"/>
      <c r="V100" s="1451"/>
      <c r="W100" s="213"/>
      <c r="X100" s="1515"/>
      <c r="Y100" s="1448"/>
      <c r="Z100" s="1448"/>
      <c r="AA100" s="1454"/>
      <c r="AB100" s="1454"/>
      <c r="AC100" s="1457"/>
      <c r="AD100" s="213"/>
      <c r="AE100" s="1515"/>
      <c r="AF100" s="1448"/>
      <c r="AG100" s="1448"/>
      <c r="AH100" s="1448"/>
      <c r="AI100" s="1451"/>
      <c r="AJ100" s="243"/>
      <c r="AK100" s="1167"/>
      <c r="AL100" s="241"/>
      <c r="AM100" s="240"/>
      <c r="AN100" s="242"/>
      <c r="AO100" s="241"/>
      <c r="AP100" s="240"/>
      <c r="AQ100" s="242"/>
      <c r="AR100" s="241"/>
      <c r="AS100" s="240"/>
      <c r="AT100" s="242"/>
      <c r="AU100" s="241"/>
      <c r="AV100" s="240"/>
      <c r="AW100" s="235"/>
      <c r="AX100" s="239"/>
      <c r="AY100" s="235"/>
      <c r="AZ100" s="241"/>
      <c r="BA100" s="240"/>
      <c r="BB100" s="242"/>
      <c r="BC100" s="241"/>
      <c r="BD100" s="240"/>
      <c r="BE100" s="242"/>
      <c r="BF100" s="241"/>
      <c r="BG100" s="240"/>
      <c r="BH100" s="242"/>
      <c r="BI100" s="241"/>
      <c r="BJ100" s="240"/>
      <c r="BK100" s="235"/>
      <c r="BL100" s="239"/>
      <c r="BN100" s="241"/>
      <c r="BO100" s="240"/>
      <c r="BP100" s="242"/>
      <c r="BQ100" s="241"/>
      <c r="BR100" s="240"/>
      <c r="BS100" s="242"/>
      <c r="BT100" s="241"/>
      <c r="BU100" s="240"/>
      <c r="BV100" s="242"/>
      <c r="BW100" s="241"/>
      <c r="BX100" s="240"/>
      <c r="BY100" s="235"/>
      <c r="BZ100" s="239"/>
      <c r="CB100" s="241"/>
      <c r="CC100" s="240"/>
      <c r="CD100" s="242"/>
      <c r="CE100" s="241"/>
      <c r="CF100" s="240"/>
      <c r="CG100" s="242"/>
      <c r="CH100" s="241"/>
      <c r="CI100" s="240"/>
      <c r="CJ100" s="242"/>
      <c r="CK100" s="241"/>
      <c r="CL100" s="240"/>
      <c r="CM100" s="235"/>
      <c r="CN100" s="239"/>
    </row>
    <row r="101" spans="2:92" ht="29.25" thickBot="1" x14ac:dyDescent="0.25">
      <c r="B101" s="1586"/>
      <c r="C101" s="1471"/>
      <c r="D101" s="1437"/>
      <c r="E101" s="1545"/>
      <c r="F101" s="1544"/>
      <c r="G101" s="315" t="str">
        <f>+'Plan de Accion apoyo transversa'!X97</f>
        <v>Olimpiada deportiva de Bolos</v>
      </c>
      <c r="H101" s="1547"/>
      <c r="J101" s="1515"/>
      <c r="K101" s="1448"/>
      <c r="L101" s="1448"/>
      <c r="M101" s="1448"/>
      <c r="N101" s="1448"/>
      <c r="O101" s="1448"/>
      <c r="P101" s="213"/>
      <c r="Q101" s="1515"/>
      <c r="R101" s="1448"/>
      <c r="S101" s="1448"/>
      <c r="T101" s="1448"/>
      <c r="U101" s="1448"/>
      <c r="V101" s="1451"/>
      <c r="W101" s="213"/>
      <c r="X101" s="1515"/>
      <c r="Y101" s="1448"/>
      <c r="Z101" s="1448"/>
      <c r="AA101" s="1454"/>
      <c r="AB101" s="1454"/>
      <c r="AC101" s="1457"/>
      <c r="AD101" s="213"/>
      <c r="AE101" s="1515"/>
      <c r="AF101" s="1448"/>
      <c r="AG101" s="1448"/>
      <c r="AH101" s="1448"/>
      <c r="AI101" s="1451"/>
      <c r="AJ101" s="243"/>
      <c r="AK101" s="1167"/>
      <c r="AL101" s="241"/>
      <c r="AM101" s="240"/>
      <c r="AN101" s="242"/>
      <c r="AO101" s="241"/>
      <c r="AP101" s="240"/>
      <c r="AQ101" s="242"/>
      <c r="AR101" s="241"/>
      <c r="AS101" s="240"/>
      <c r="AT101" s="242"/>
      <c r="AU101" s="241"/>
      <c r="AV101" s="240"/>
      <c r="AW101" s="235"/>
      <c r="AX101" s="239"/>
      <c r="AY101" s="235"/>
      <c r="AZ101" s="241"/>
      <c r="BA101" s="240"/>
      <c r="BB101" s="242"/>
      <c r="BC101" s="241"/>
      <c r="BD101" s="240"/>
      <c r="BE101" s="242"/>
      <c r="BF101" s="241"/>
      <c r="BG101" s="240"/>
      <c r="BH101" s="242"/>
      <c r="BI101" s="241"/>
      <c r="BJ101" s="240"/>
      <c r="BK101" s="235"/>
      <c r="BL101" s="239"/>
      <c r="BN101" s="241"/>
      <c r="BO101" s="240"/>
      <c r="BP101" s="242"/>
      <c r="BQ101" s="241"/>
      <c r="BR101" s="240"/>
      <c r="BS101" s="242"/>
      <c r="BT101" s="241"/>
      <c r="BU101" s="240"/>
      <c r="BV101" s="242"/>
      <c r="BW101" s="241"/>
      <c r="BX101" s="240"/>
      <c r="BY101" s="235"/>
      <c r="BZ101" s="239"/>
      <c r="CB101" s="241"/>
      <c r="CC101" s="240"/>
      <c r="CD101" s="242"/>
      <c r="CE101" s="241"/>
      <c r="CF101" s="240"/>
      <c r="CG101" s="242"/>
      <c r="CH101" s="241"/>
      <c r="CI101" s="240"/>
      <c r="CJ101" s="242"/>
      <c r="CK101" s="241"/>
      <c r="CL101" s="240"/>
      <c r="CM101" s="235"/>
      <c r="CN101" s="239"/>
    </row>
    <row r="102" spans="2:92" ht="20.25" thickBot="1" x14ac:dyDescent="0.25">
      <c r="B102" s="1586"/>
      <c r="C102" s="1471"/>
      <c r="D102" s="1437"/>
      <c r="E102" s="1545"/>
      <c r="F102" s="1544"/>
      <c r="G102" s="315" t="str">
        <f>+'Plan de Accion apoyo transversa'!X98</f>
        <v>Olimpiada deportiva de Billar</v>
      </c>
      <c r="H102" s="1547"/>
      <c r="J102" s="1515"/>
      <c r="K102" s="1448"/>
      <c r="L102" s="1448"/>
      <c r="M102" s="1448"/>
      <c r="N102" s="1448"/>
      <c r="O102" s="1448"/>
      <c r="P102" s="213"/>
      <c r="Q102" s="1515"/>
      <c r="R102" s="1448"/>
      <c r="S102" s="1448"/>
      <c r="T102" s="1448"/>
      <c r="U102" s="1448"/>
      <c r="V102" s="1451"/>
      <c r="W102" s="213"/>
      <c r="X102" s="1515"/>
      <c r="Y102" s="1448"/>
      <c r="Z102" s="1448"/>
      <c r="AA102" s="1454"/>
      <c r="AB102" s="1454"/>
      <c r="AC102" s="1457"/>
      <c r="AD102" s="213"/>
      <c r="AE102" s="1515"/>
      <c r="AF102" s="1448"/>
      <c r="AG102" s="1448"/>
      <c r="AH102" s="1448"/>
      <c r="AI102" s="1451"/>
      <c r="AJ102" s="243"/>
      <c r="AK102" s="1167"/>
      <c r="AL102" s="241"/>
      <c r="AM102" s="240"/>
      <c r="AN102" s="242"/>
      <c r="AO102" s="241"/>
      <c r="AP102" s="240"/>
      <c r="AQ102" s="242"/>
      <c r="AR102" s="241"/>
      <c r="AS102" s="240"/>
      <c r="AT102" s="242"/>
      <c r="AU102" s="241"/>
      <c r="AV102" s="240"/>
      <c r="AW102" s="235"/>
      <c r="AX102" s="239"/>
      <c r="AY102" s="235"/>
      <c r="AZ102" s="241"/>
      <c r="BA102" s="240"/>
      <c r="BB102" s="242"/>
      <c r="BC102" s="241"/>
      <c r="BD102" s="240"/>
      <c r="BE102" s="242"/>
      <c r="BF102" s="241"/>
      <c r="BG102" s="240"/>
      <c r="BH102" s="242"/>
      <c r="BI102" s="241"/>
      <c r="BJ102" s="240"/>
      <c r="BK102" s="235"/>
      <c r="BL102" s="239"/>
      <c r="BN102" s="241"/>
      <c r="BO102" s="240"/>
      <c r="BP102" s="242"/>
      <c r="BQ102" s="241"/>
      <c r="BR102" s="240"/>
      <c r="BS102" s="242"/>
      <c r="BT102" s="241"/>
      <c r="BU102" s="240"/>
      <c r="BV102" s="242"/>
      <c r="BW102" s="241"/>
      <c r="BX102" s="240"/>
      <c r="BY102" s="235"/>
      <c r="BZ102" s="239"/>
      <c r="CB102" s="241"/>
      <c r="CC102" s="240"/>
      <c r="CD102" s="242"/>
      <c r="CE102" s="241"/>
      <c r="CF102" s="240"/>
      <c r="CG102" s="242"/>
      <c r="CH102" s="241"/>
      <c r="CI102" s="240"/>
      <c r="CJ102" s="242"/>
      <c r="CK102" s="241"/>
      <c r="CL102" s="240"/>
      <c r="CM102" s="235"/>
      <c r="CN102" s="239"/>
    </row>
    <row r="103" spans="2:92" ht="29.25" thickBot="1" x14ac:dyDescent="0.25">
      <c r="B103" s="1586"/>
      <c r="C103" s="1471"/>
      <c r="D103" s="1437"/>
      <c r="E103" s="1545"/>
      <c r="F103" s="1544"/>
      <c r="G103" s="315" t="str">
        <f>+'Plan de Accion apoyo transversa'!X99</f>
        <v>Vacaciones recreativas realizadas</v>
      </c>
      <c r="H103" s="1547"/>
      <c r="J103" s="1515"/>
      <c r="K103" s="1448"/>
      <c r="L103" s="1448"/>
      <c r="M103" s="1448"/>
      <c r="N103" s="1448"/>
      <c r="O103" s="1448"/>
      <c r="P103" s="213"/>
      <c r="Q103" s="1515"/>
      <c r="R103" s="1448"/>
      <c r="S103" s="1448"/>
      <c r="T103" s="1448"/>
      <c r="U103" s="1448"/>
      <c r="V103" s="1451"/>
      <c r="W103" s="213"/>
      <c r="X103" s="1515"/>
      <c r="Y103" s="1448"/>
      <c r="Z103" s="1448"/>
      <c r="AA103" s="1454"/>
      <c r="AB103" s="1454"/>
      <c r="AC103" s="1457"/>
      <c r="AD103" s="213"/>
      <c r="AE103" s="1515"/>
      <c r="AF103" s="1448"/>
      <c r="AG103" s="1448"/>
      <c r="AH103" s="1448"/>
      <c r="AI103" s="1451"/>
      <c r="AJ103" s="243"/>
      <c r="AK103" s="1167"/>
      <c r="AL103" s="241"/>
      <c r="AM103" s="240"/>
      <c r="AN103" s="242"/>
      <c r="AO103" s="241"/>
      <c r="AP103" s="240"/>
      <c r="AQ103" s="242"/>
      <c r="AR103" s="241"/>
      <c r="AS103" s="240"/>
      <c r="AT103" s="242"/>
      <c r="AU103" s="241"/>
      <c r="AV103" s="240"/>
      <c r="AW103" s="235"/>
      <c r="AX103" s="239"/>
      <c r="AY103" s="235"/>
      <c r="AZ103" s="241"/>
      <c r="BA103" s="240"/>
      <c r="BB103" s="242"/>
      <c r="BC103" s="241"/>
      <c r="BD103" s="240"/>
      <c r="BE103" s="242"/>
      <c r="BF103" s="241"/>
      <c r="BG103" s="240"/>
      <c r="BH103" s="242"/>
      <c r="BI103" s="241"/>
      <c r="BJ103" s="240"/>
      <c r="BK103" s="235"/>
      <c r="BL103" s="239"/>
      <c r="BN103" s="241"/>
      <c r="BO103" s="240"/>
      <c r="BP103" s="242"/>
      <c r="BQ103" s="241"/>
      <c r="BR103" s="240"/>
      <c r="BS103" s="242"/>
      <c r="BT103" s="241"/>
      <c r="BU103" s="240"/>
      <c r="BV103" s="242"/>
      <c r="BW103" s="241"/>
      <c r="BX103" s="240"/>
      <c r="BY103" s="235"/>
      <c r="BZ103" s="239"/>
      <c r="CB103" s="241"/>
      <c r="CC103" s="240"/>
      <c r="CD103" s="242"/>
      <c r="CE103" s="241"/>
      <c r="CF103" s="240"/>
      <c r="CG103" s="242"/>
      <c r="CH103" s="241"/>
      <c r="CI103" s="240"/>
      <c r="CJ103" s="242"/>
      <c r="CK103" s="241"/>
      <c r="CL103" s="240"/>
      <c r="CM103" s="235"/>
      <c r="CN103" s="239"/>
    </row>
    <row r="104" spans="2:92" ht="29.25" thickBot="1" x14ac:dyDescent="0.25">
      <c r="B104" s="1586"/>
      <c r="C104" s="1471"/>
      <c r="D104" s="1437"/>
      <c r="E104" s="1545"/>
      <c r="F104" s="1544"/>
      <c r="G104" s="315" t="str">
        <f>+'Plan de Accion apoyo transversa'!X100</f>
        <v>Actividad día del niño realizada</v>
      </c>
      <c r="H104" s="1547"/>
      <c r="J104" s="1515"/>
      <c r="K104" s="1448"/>
      <c r="L104" s="1448"/>
      <c r="M104" s="1448"/>
      <c r="N104" s="1448"/>
      <c r="O104" s="1448"/>
      <c r="P104" s="213"/>
      <c r="Q104" s="1515"/>
      <c r="R104" s="1448"/>
      <c r="S104" s="1448"/>
      <c r="T104" s="1448"/>
      <c r="U104" s="1448"/>
      <c r="V104" s="1451"/>
      <c r="W104" s="213"/>
      <c r="X104" s="1515"/>
      <c r="Y104" s="1448"/>
      <c r="Z104" s="1448"/>
      <c r="AA104" s="1454"/>
      <c r="AB104" s="1454"/>
      <c r="AC104" s="1457"/>
      <c r="AD104" s="213"/>
      <c r="AE104" s="1515"/>
      <c r="AF104" s="1448"/>
      <c r="AG104" s="1448"/>
      <c r="AH104" s="1448"/>
      <c r="AI104" s="1451"/>
      <c r="AJ104" s="243"/>
      <c r="AK104" s="1167"/>
      <c r="AL104" s="241"/>
      <c r="AM104" s="240"/>
      <c r="AN104" s="242"/>
      <c r="AO104" s="241"/>
      <c r="AP104" s="240"/>
      <c r="AQ104" s="242"/>
      <c r="AR104" s="241"/>
      <c r="AS104" s="240"/>
      <c r="AT104" s="242"/>
      <c r="AU104" s="241"/>
      <c r="AV104" s="240"/>
      <c r="AW104" s="235"/>
      <c r="AX104" s="239"/>
      <c r="AY104" s="235"/>
      <c r="AZ104" s="241"/>
      <c r="BA104" s="240"/>
      <c r="BB104" s="242"/>
      <c r="BC104" s="241"/>
      <c r="BD104" s="240"/>
      <c r="BE104" s="242"/>
      <c r="BF104" s="241"/>
      <c r="BG104" s="240"/>
      <c r="BH104" s="242"/>
      <c r="BI104" s="241"/>
      <c r="BJ104" s="240"/>
      <c r="BK104" s="235"/>
      <c r="BL104" s="239"/>
      <c r="BN104" s="241"/>
      <c r="BO104" s="240"/>
      <c r="BP104" s="242"/>
      <c r="BQ104" s="241"/>
      <c r="BR104" s="240"/>
      <c r="BS104" s="242"/>
      <c r="BT104" s="241"/>
      <c r="BU104" s="240"/>
      <c r="BV104" s="242"/>
      <c r="BW104" s="241"/>
      <c r="BX104" s="240"/>
      <c r="BY104" s="235"/>
      <c r="BZ104" s="239"/>
      <c r="CB104" s="241"/>
      <c r="CC104" s="240"/>
      <c r="CD104" s="242"/>
      <c r="CE104" s="241"/>
      <c r="CF104" s="240"/>
      <c r="CG104" s="242"/>
      <c r="CH104" s="241"/>
      <c r="CI104" s="240"/>
      <c r="CJ104" s="242"/>
      <c r="CK104" s="241"/>
      <c r="CL104" s="240"/>
      <c r="CM104" s="235"/>
      <c r="CN104" s="239"/>
    </row>
    <row r="105" spans="2:92" ht="29.25" thickBot="1" x14ac:dyDescent="0.25">
      <c r="B105" s="1586"/>
      <c r="C105" s="1471"/>
      <c r="D105" s="1437"/>
      <c r="E105" s="1545"/>
      <c r="F105" s="1544"/>
      <c r="G105" s="315" t="str">
        <f>+'Plan de Accion apoyo transversa'!X101</f>
        <v>Actividad cultural y artística de Cine realizada</v>
      </c>
      <c r="H105" s="1547"/>
      <c r="J105" s="1515"/>
      <c r="K105" s="1448"/>
      <c r="L105" s="1448"/>
      <c r="M105" s="1448"/>
      <c r="N105" s="1448"/>
      <c r="O105" s="1448"/>
      <c r="P105" s="213"/>
      <c r="Q105" s="1515"/>
      <c r="R105" s="1448"/>
      <c r="S105" s="1448"/>
      <c r="T105" s="1448"/>
      <c r="U105" s="1448"/>
      <c r="V105" s="1451"/>
      <c r="W105" s="213"/>
      <c r="X105" s="1515"/>
      <c r="Y105" s="1448"/>
      <c r="Z105" s="1448"/>
      <c r="AA105" s="1454"/>
      <c r="AB105" s="1454"/>
      <c r="AC105" s="1457"/>
      <c r="AD105" s="213"/>
      <c r="AE105" s="1515"/>
      <c r="AF105" s="1448"/>
      <c r="AG105" s="1448"/>
      <c r="AH105" s="1448"/>
      <c r="AI105" s="1451"/>
      <c r="AJ105" s="243"/>
      <c r="AK105" s="1167"/>
      <c r="AL105" s="241"/>
      <c r="AM105" s="240"/>
      <c r="AN105" s="242"/>
      <c r="AO105" s="241"/>
      <c r="AP105" s="240"/>
      <c r="AQ105" s="242"/>
      <c r="AR105" s="241"/>
      <c r="AS105" s="240"/>
      <c r="AT105" s="242"/>
      <c r="AU105" s="241"/>
      <c r="AV105" s="240"/>
      <c r="AW105" s="235"/>
      <c r="AX105" s="239"/>
      <c r="AY105" s="235"/>
      <c r="AZ105" s="241"/>
      <c r="BA105" s="240"/>
      <c r="BB105" s="242"/>
      <c r="BC105" s="241"/>
      <c r="BD105" s="240"/>
      <c r="BE105" s="242"/>
      <c r="BF105" s="241"/>
      <c r="BG105" s="240"/>
      <c r="BH105" s="242"/>
      <c r="BI105" s="241"/>
      <c r="BJ105" s="240"/>
      <c r="BK105" s="235"/>
      <c r="BL105" s="239"/>
      <c r="BN105" s="241"/>
      <c r="BO105" s="240"/>
      <c r="BP105" s="242"/>
      <c r="BQ105" s="241"/>
      <c r="BR105" s="240"/>
      <c r="BS105" s="242"/>
      <c r="BT105" s="241"/>
      <c r="BU105" s="240"/>
      <c r="BV105" s="242"/>
      <c r="BW105" s="241"/>
      <c r="BX105" s="240"/>
      <c r="BY105" s="235"/>
      <c r="BZ105" s="239"/>
      <c r="CB105" s="241"/>
      <c r="CC105" s="240"/>
      <c r="CD105" s="242"/>
      <c r="CE105" s="241"/>
      <c r="CF105" s="240"/>
      <c r="CG105" s="242"/>
      <c r="CH105" s="241"/>
      <c r="CI105" s="240"/>
      <c r="CJ105" s="242"/>
      <c r="CK105" s="241"/>
      <c r="CL105" s="240"/>
      <c r="CM105" s="235"/>
      <c r="CN105" s="239"/>
    </row>
    <row r="106" spans="2:92" ht="61.5" customHeight="1" thickBot="1" x14ac:dyDescent="0.25">
      <c r="B106" s="1586"/>
      <c r="C106" s="1471"/>
      <c r="D106" s="1437"/>
      <c r="E106" s="1545"/>
      <c r="F106" s="1544"/>
      <c r="G106" s="315" t="str">
        <f>+'Plan de Accion apoyo transversa'!X102</f>
        <v>Actividad cultural y artística de Taller de cocina realizada</v>
      </c>
      <c r="H106" s="1547"/>
      <c r="J106" s="1515"/>
      <c r="K106" s="1448"/>
      <c r="L106" s="1448"/>
      <c r="M106" s="1448"/>
      <c r="N106" s="1448"/>
      <c r="O106" s="1448"/>
      <c r="P106" s="213"/>
      <c r="Q106" s="1515"/>
      <c r="R106" s="1448"/>
      <c r="S106" s="1448"/>
      <c r="T106" s="1448"/>
      <c r="U106" s="1448"/>
      <c r="V106" s="1451"/>
      <c r="W106" s="213"/>
      <c r="X106" s="1515"/>
      <c r="Y106" s="1448"/>
      <c r="Z106" s="1448"/>
      <c r="AA106" s="1454"/>
      <c r="AB106" s="1454"/>
      <c r="AC106" s="1457"/>
      <c r="AD106" s="213"/>
      <c r="AE106" s="1515"/>
      <c r="AF106" s="1448"/>
      <c r="AG106" s="1448"/>
      <c r="AH106" s="1448"/>
      <c r="AI106" s="1451"/>
      <c r="AJ106" s="243"/>
      <c r="AK106" s="1167"/>
      <c r="AL106" s="241"/>
      <c r="AM106" s="240"/>
      <c r="AN106" s="242"/>
      <c r="AO106" s="241"/>
      <c r="AP106" s="240"/>
      <c r="AQ106" s="242"/>
      <c r="AR106" s="241"/>
      <c r="AS106" s="240"/>
      <c r="AT106" s="242"/>
      <c r="AU106" s="241"/>
      <c r="AV106" s="240"/>
      <c r="AW106" s="235"/>
      <c r="AX106" s="239"/>
      <c r="AY106" s="235"/>
      <c r="AZ106" s="241"/>
      <c r="BA106" s="240"/>
      <c r="BB106" s="242"/>
      <c r="BC106" s="241"/>
      <c r="BD106" s="240"/>
      <c r="BE106" s="242"/>
      <c r="BF106" s="241"/>
      <c r="BG106" s="240"/>
      <c r="BH106" s="242"/>
      <c r="BI106" s="241"/>
      <c r="BJ106" s="240"/>
      <c r="BK106" s="235"/>
      <c r="BL106" s="239"/>
      <c r="BN106" s="241"/>
      <c r="BO106" s="240"/>
      <c r="BP106" s="242"/>
      <c r="BQ106" s="241"/>
      <c r="BR106" s="240"/>
      <c r="BS106" s="242"/>
      <c r="BT106" s="241"/>
      <c r="BU106" s="240"/>
      <c r="BV106" s="242"/>
      <c r="BW106" s="241"/>
      <c r="BX106" s="240"/>
      <c r="BY106" s="235"/>
      <c r="BZ106" s="239"/>
      <c r="CB106" s="241"/>
      <c r="CC106" s="240"/>
      <c r="CD106" s="242"/>
      <c r="CE106" s="241"/>
      <c r="CF106" s="240"/>
      <c r="CG106" s="242"/>
      <c r="CH106" s="241"/>
      <c r="CI106" s="240"/>
      <c r="CJ106" s="242"/>
      <c r="CK106" s="241"/>
      <c r="CL106" s="240"/>
      <c r="CM106" s="235"/>
      <c r="CN106" s="239"/>
    </row>
    <row r="107" spans="2:92" ht="29.25" thickBot="1" x14ac:dyDescent="0.25">
      <c r="B107" s="1586"/>
      <c r="C107" s="1471"/>
      <c r="D107" s="1437"/>
      <c r="E107" s="1545"/>
      <c r="F107" s="1544"/>
      <c r="G107" s="315" t="str">
        <f>+'Plan de Accion apoyo transversa'!X103</f>
        <v>Actividad social de Dia de la familia realizada</v>
      </c>
      <c r="H107" s="1547"/>
      <c r="J107" s="1515"/>
      <c r="K107" s="1448"/>
      <c r="L107" s="1448"/>
      <c r="M107" s="1448"/>
      <c r="N107" s="1448"/>
      <c r="O107" s="1448"/>
      <c r="P107" s="213"/>
      <c r="Q107" s="1515"/>
      <c r="R107" s="1448"/>
      <c r="S107" s="1448"/>
      <c r="T107" s="1448"/>
      <c r="U107" s="1448"/>
      <c r="V107" s="1451"/>
      <c r="W107" s="213"/>
      <c r="X107" s="1515"/>
      <c r="Y107" s="1448"/>
      <c r="Z107" s="1448"/>
      <c r="AA107" s="1454"/>
      <c r="AB107" s="1454"/>
      <c r="AC107" s="1457"/>
      <c r="AD107" s="213"/>
      <c r="AE107" s="1515"/>
      <c r="AF107" s="1448"/>
      <c r="AG107" s="1448"/>
      <c r="AH107" s="1448"/>
      <c r="AI107" s="1451"/>
      <c r="AJ107" s="243"/>
      <c r="AK107" s="1167">
        <v>1</v>
      </c>
      <c r="AL107" s="241"/>
      <c r="AM107" s="240"/>
      <c r="AN107" s="242"/>
      <c r="AO107" s="241"/>
      <c r="AP107" s="240"/>
      <c r="AQ107" s="242"/>
      <c r="AR107" s="241"/>
      <c r="AS107" s="240"/>
      <c r="AT107" s="242"/>
      <c r="AU107" s="241"/>
      <c r="AV107" s="240"/>
      <c r="AW107" s="235"/>
      <c r="AX107" s="239"/>
      <c r="AY107" s="235"/>
      <c r="AZ107" s="241"/>
      <c r="BA107" s="240"/>
      <c r="BB107" s="242"/>
      <c r="BC107" s="241"/>
      <c r="BD107" s="240"/>
      <c r="BE107" s="242"/>
      <c r="BF107" s="241"/>
      <c r="BG107" s="240"/>
      <c r="BH107" s="242"/>
      <c r="BI107" s="241"/>
      <c r="BJ107" s="240"/>
      <c r="BK107" s="235"/>
      <c r="BL107" s="239"/>
      <c r="BN107" s="241"/>
      <c r="BO107" s="240"/>
      <c r="BP107" s="242"/>
      <c r="BQ107" s="241"/>
      <c r="BR107" s="240"/>
      <c r="BS107" s="242"/>
      <c r="BT107" s="241"/>
      <c r="BU107" s="240"/>
      <c r="BV107" s="242"/>
      <c r="BW107" s="241"/>
      <c r="BX107" s="240"/>
      <c r="BY107" s="235"/>
      <c r="BZ107" s="239"/>
      <c r="CB107" s="241"/>
      <c r="CC107" s="240"/>
      <c r="CD107" s="242"/>
      <c r="CE107" s="241"/>
      <c r="CF107" s="240"/>
      <c r="CG107" s="242"/>
      <c r="CH107" s="241"/>
      <c r="CI107" s="240"/>
      <c r="CJ107" s="242"/>
      <c r="CK107" s="241"/>
      <c r="CL107" s="240"/>
      <c r="CM107" s="235"/>
      <c r="CN107" s="239"/>
    </row>
    <row r="108" spans="2:92" ht="43.5" thickBot="1" x14ac:dyDescent="0.25">
      <c r="B108" s="1586"/>
      <c r="C108" s="1471"/>
      <c r="D108" s="1437"/>
      <c r="E108" s="1545"/>
      <c r="F108" s="1544"/>
      <c r="G108" s="315" t="str">
        <f>+'Plan de Accion apoyo transversa'!X104</f>
        <v>Actividad social de Dia Internacional de la Mujer realizada</v>
      </c>
      <c r="H108" s="1547"/>
      <c r="J108" s="1515"/>
      <c r="K108" s="1448"/>
      <c r="L108" s="1448"/>
      <c r="M108" s="1448"/>
      <c r="N108" s="1448"/>
      <c r="O108" s="1448"/>
      <c r="P108" s="213"/>
      <c r="Q108" s="1515"/>
      <c r="R108" s="1448"/>
      <c r="S108" s="1448"/>
      <c r="T108" s="1448"/>
      <c r="U108" s="1448"/>
      <c r="V108" s="1451"/>
      <c r="W108" s="213"/>
      <c r="X108" s="1515"/>
      <c r="Y108" s="1448"/>
      <c r="Z108" s="1448"/>
      <c r="AA108" s="1454"/>
      <c r="AB108" s="1454"/>
      <c r="AC108" s="1457"/>
      <c r="AD108" s="213"/>
      <c r="AE108" s="1515"/>
      <c r="AF108" s="1448"/>
      <c r="AG108" s="1448"/>
      <c r="AH108" s="1448"/>
      <c r="AI108" s="1451"/>
      <c r="AJ108" s="243"/>
      <c r="AK108" s="1167"/>
      <c r="AL108" s="241"/>
      <c r="AM108" s="240"/>
      <c r="AN108" s="242"/>
      <c r="AO108" s="241"/>
      <c r="AP108" s="240"/>
      <c r="AQ108" s="242"/>
      <c r="AR108" s="241"/>
      <c r="AS108" s="240"/>
      <c r="AT108" s="242"/>
      <c r="AU108" s="241"/>
      <c r="AV108" s="240"/>
      <c r="AW108" s="235"/>
      <c r="AX108" s="239"/>
      <c r="AY108" s="235"/>
      <c r="AZ108" s="241"/>
      <c r="BA108" s="240"/>
      <c r="BB108" s="242"/>
      <c r="BC108" s="241"/>
      <c r="BD108" s="240"/>
      <c r="BE108" s="242"/>
      <c r="BF108" s="241"/>
      <c r="BG108" s="240"/>
      <c r="BH108" s="242"/>
      <c r="BI108" s="241"/>
      <c r="BJ108" s="240"/>
      <c r="BK108" s="235"/>
      <c r="BL108" s="239"/>
      <c r="BN108" s="241"/>
      <c r="BO108" s="240"/>
      <c r="BP108" s="242"/>
      <c r="BQ108" s="241"/>
      <c r="BR108" s="240"/>
      <c r="BS108" s="242"/>
      <c r="BT108" s="241"/>
      <c r="BU108" s="240"/>
      <c r="BV108" s="242"/>
      <c r="BW108" s="241"/>
      <c r="BX108" s="240"/>
      <c r="BY108" s="235"/>
      <c r="BZ108" s="239"/>
      <c r="CB108" s="241"/>
      <c r="CC108" s="240"/>
      <c r="CD108" s="242"/>
      <c r="CE108" s="241"/>
      <c r="CF108" s="240"/>
      <c r="CG108" s="242"/>
      <c r="CH108" s="241"/>
      <c r="CI108" s="240"/>
      <c r="CJ108" s="242"/>
      <c r="CK108" s="241"/>
      <c r="CL108" s="240"/>
      <c r="CM108" s="235"/>
      <c r="CN108" s="239"/>
    </row>
    <row r="109" spans="2:92" s="174" customFormat="1" ht="53.25" customHeight="1" thickBot="1" x14ac:dyDescent="0.25">
      <c r="B109" s="1586"/>
      <c r="C109" s="1471"/>
      <c r="D109" s="1437"/>
      <c r="E109" s="1545"/>
      <c r="F109" s="1544"/>
      <c r="G109" s="315" t="str">
        <f>+'Plan de Accion apoyo transversa'!X105</f>
        <v>Actividades de navidad (novenas del 16 al 20 de diciembre de 2019) realizadas</v>
      </c>
      <c r="H109" s="1547"/>
      <c r="I109" s="175"/>
      <c r="J109" s="1515"/>
      <c r="K109" s="1448"/>
      <c r="L109" s="1448"/>
      <c r="M109" s="1448"/>
      <c r="N109" s="1448"/>
      <c r="O109" s="1448"/>
      <c r="P109" s="213"/>
      <c r="Q109" s="1515"/>
      <c r="R109" s="1448"/>
      <c r="S109" s="1448"/>
      <c r="T109" s="1448"/>
      <c r="U109" s="1448"/>
      <c r="V109" s="1451"/>
      <c r="W109" s="213"/>
      <c r="X109" s="1515"/>
      <c r="Y109" s="1448"/>
      <c r="Z109" s="1448"/>
      <c r="AA109" s="1454"/>
      <c r="AB109" s="1454"/>
      <c r="AC109" s="1457"/>
      <c r="AD109" s="213"/>
      <c r="AE109" s="1515"/>
      <c r="AF109" s="1448"/>
      <c r="AG109" s="1448"/>
      <c r="AH109" s="1448"/>
      <c r="AI109" s="1451"/>
      <c r="AJ109" s="247"/>
      <c r="AK109" s="1168"/>
      <c r="AL109" s="246"/>
      <c r="AM109" s="245"/>
      <c r="AN109" s="233"/>
      <c r="AO109" s="246"/>
      <c r="AP109" s="245"/>
      <c r="AQ109" s="233"/>
      <c r="AR109" s="246"/>
      <c r="AS109" s="245"/>
      <c r="AT109" s="233"/>
      <c r="AU109" s="246"/>
      <c r="AV109" s="245"/>
      <c r="AW109" s="233"/>
      <c r="AX109" s="244"/>
      <c r="AY109" s="233"/>
      <c r="AZ109" s="246"/>
      <c r="BA109" s="245"/>
      <c r="BB109" s="233"/>
      <c r="BC109" s="246"/>
      <c r="BD109" s="245"/>
      <c r="BE109" s="233"/>
      <c r="BF109" s="246"/>
      <c r="BG109" s="245"/>
      <c r="BH109" s="233"/>
      <c r="BI109" s="246"/>
      <c r="BJ109" s="245"/>
      <c r="BK109" s="233"/>
      <c r="BL109" s="244"/>
      <c r="BN109" s="246"/>
      <c r="BO109" s="245"/>
      <c r="BP109" s="233"/>
      <c r="BQ109" s="246"/>
      <c r="BR109" s="245"/>
      <c r="BS109" s="233"/>
      <c r="BT109" s="246"/>
      <c r="BU109" s="245"/>
      <c r="BV109" s="233"/>
      <c r="BW109" s="246"/>
      <c r="BX109" s="245"/>
      <c r="BY109" s="233"/>
      <c r="BZ109" s="244"/>
      <c r="CB109" s="246"/>
      <c r="CC109" s="245"/>
      <c r="CD109" s="233"/>
      <c r="CE109" s="246"/>
      <c r="CF109" s="245"/>
      <c r="CG109" s="233"/>
      <c r="CH109" s="246"/>
      <c r="CI109" s="245"/>
      <c r="CJ109" s="233"/>
      <c r="CK109" s="246"/>
      <c r="CL109" s="245"/>
      <c r="CM109" s="233"/>
      <c r="CN109" s="244"/>
    </row>
    <row r="110" spans="2:92" s="174" customFormat="1" ht="29.25" thickBot="1" x14ac:dyDescent="0.25">
      <c r="B110" s="1586"/>
      <c r="C110" s="1471"/>
      <c r="D110" s="1437"/>
      <c r="E110" s="1545"/>
      <c r="F110" s="1544"/>
      <c r="G110" s="315" t="str">
        <f>+'Plan de Accion apoyo transversa'!X106</f>
        <v>Actividad social de Dia del servidor público realizada</v>
      </c>
      <c r="H110" s="1547"/>
      <c r="I110" s="175"/>
      <c r="J110" s="1515"/>
      <c r="K110" s="1448"/>
      <c r="L110" s="1448"/>
      <c r="M110" s="1448"/>
      <c r="N110" s="1448"/>
      <c r="O110" s="1448"/>
      <c r="P110" s="213"/>
      <c r="Q110" s="1515"/>
      <c r="R110" s="1448"/>
      <c r="S110" s="1448"/>
      <c r="T110" s="1448"/>
      <c r="U110" s="1448"/>
      <c r="V110" s="1451"/>
      <c r="W110" s="213"/>
      <c r="X110" s="1515"/>
      <c r="Y110" s="1448"/>
      <c r="Z110" s="1448"/>
      <c r="AA110" s="1454"/>
      <c r="AB110" s="1454"/>
      <c r="AC110" s="1457"/>
      <c r="AD110" s="213"/>
      <c r="AE110" s="1515"/>
      <c r="AF110" s="1448"/>
      <c r="AG110" s="1448"/>
      <c r="AH110" s="1448"/>
      <c r="AI110" s="1451"/>
      <c r="AJ110" s="247"/>
      <c r="AK110" s="1168"/>
      <c r="AL110" s="246"/>
      <c r="AM110" s="245"/>
      <c r="AN110" s="233"/>
      <c r="AO110" s="246"/>
      <c r="AP110" s="245"/>
      <c r="AQ110" s="233"/>
      <c r="AR110" s="246"/>
      <c r="AS110" s="245"/>
      <c r="AT110" s="233"/>
      <c r="AU110" s="246"/>
      <c r="AV110" s="245"/>
      <c r="AW110" s="233"/>
      <c r="AX110" s="244"/>
      <c r="AY110" s="233"/>
      <c r="AZ110" s="246"/>
      <c r="BA110" s="245"/>
      <c r="BB110" s="233"/>
      <c r="BC110" s="246"/>
      <c r="BD110" s="245"/>
      <c r="BE110" s="233"/>
      <c r="BF110" s="246"/>
      <c r="BG110" s="245"/>
      <c r="BH110" s="233"/>
      <c r="BI110" s="246"/>
      <c r="BJ110" s="245"/>
      <c r="BK110" s="233"/>
      <c r="BL110" s="244"/>
      <c r="BN110" s="246"/>
      <c r="BO110" s="245"/>
      <c r="BP110" s="233"/>
      <c r="BQ110" s="246"/>
      <c r="BR110" s="245"/>
      <c r="BS110" s="233"/>
      <c r="BT110" s="246"/>
      <c r="BU110" s="245"/>
      <c r="BV110" s="233"/>
      <c r="BW110" s="246"/>
      <c r="BX110" s="245"/>
      <c r="BY110" s="233"/>
      <c r="BZ110" s="244"/>
      <c r="CB110" s="246"/>
      <c r="CC110" s="245"/>
      <c r="CD110" s="233"/>
      <c r="CE110" s="246"/>
      <c r="CF110" s="245"/>
      <c r="CG110" s="233"/>
      <c r="CH110" s="246"/>
      <c r="CI110" s="245"/>
      <c r="CJ110" s="233"/>
      <c r="CK110" s="246"/>
      <c r="CL110" s="245"/>
      <c r="CM110" s="233"/>
      <c r="CN110" s="244"/>
    </row>
    <row r="111" spans="2:92" s="174" customFormat="1" ht="29.25" thickBot="1" x14ac:dyDescent="0.25">
      <c r="B111" s="1586"/>
      <c r="C111" s="1471"/>
      <c r="D111" s="1437"/>
      <c r="E111" s="1545"/>
      <c r="F111" s="1544"/>
      <c r="G111" s="315" t="str">
        <f>+'Plan de Accion apoyo transversa'!X107</f>
        <v>Plan prepensionados realizado</v>
      </c>
      <c r="H111" s="1547"/>
      <c r="I111" s="175"/>
      <c r="J111" s="1515"/>
      <c r="K111" s="1448"/>
      <c r="L111" s="1448"/>
      <c r="M111" s="1448"/>
      <c r="N111" s="1448"/>
      <c r="O111" s="1448"/>
      <c r="P111" s="213"/>
      <c r="Q111" s="1515"/>
      <c r="R111" s="1448"/>
      <c r="S111" s="1448"/>
      <c r="T111" s="1448"/>
      <c r="U111" s="1448"/>
      <c r="V111" s="1451"/>
      <c r="W111" s="213"/>
      <c r="X111" s="1515"/>
      <c r="Y111" s="1448"/>
      <c r="Z111" s="1448"/>
      <c r="AA111" s="1454"/>
      <c r="AB111" s="1454"/>
      <c r="AC111" s="1457"/>
      <c r="AD111" s="213"/>
      <c r="AE111" s="1515"/>
      <c r="AF111" s="1448"/>
      <c r="AG111" s="1448"/>
      <c r="AH111" s="1448"/>
      <c r="AI111" s="1451"/>
      <c r="AJ111" s="247"/>
      <c r="AK111" s="1168"/>
      <c r="AL111" s="246"/>
      <c r="AM111" s="245"/>
      <c r="AN111" s="233"/>
      <c r="AO111" s="246"/>
      <c r="AP111" s="245"/>
      <c r="AQ111" s="233"/>
      <c r="AR111" s="246"/>
      <c r="AS111" s="245"/>
      <c r="AT111" s="233"/>
      <c r="AU111" s="246"/>
      <c r="AV111" s="245"/>
      <c r="AW111" s="233"/>
      <c r="AX111" s="244"/>
      <c r="AY111" s="233"/>
      <c r="AZ111" s="246"/>
      <c r="BA111" s="245"/>
      <c r="BB111" s="233"/>
      <c r="BC111" s="246"/>
      <c r="BD111" s="245"/>
      <c r="BE111" s="233"/>
      <c r="BF111" s="246"/>
      <c r="BG111" s="245"/>
      <c r="BH111" s="233"/>
      <c r="BI111" s="246"/>
      <c r="BJ111" s="245"/>
      <c r="BK111" s="233"/>
      <c r="BL111" s="244"/>
      <c r="BN111" s="246"/>
      <c r="BO111" s="245"/>
      <c r="BP111" s="233"/>
      <c r="BQ111" s="246"/>
      <c r="BR111" s="245"/>
      <c r="BS111" s="233"/>
      <c r="BT111" s="246"/>
      <c r="BU111" s="245"/>
      <c r="BV111" s="233"/>
      <c r="BW111" s="246"/>
      <c r="BX111" s="245"/>
      <c r="BY111" s="233"/>
      <c r="BZ111" s="244"/>
      <c r="CB111" s="246"/>
      <c r="CC111" s="245"/>
      <c r="CD111" s="233"/>
      <c r="CE111" s="246"/>
      <c r="CF111" s="245"/>
      <c r="CG111" s="233"/>
      <c r="CH111" s="246"/>
      <c r="CI111" s="245"/>
      <c r="CJ111" s="233"/>
      <c r="CK111" s="246"/>
      <c r="CL111" s="245"/>
      <c r="CM111" s="233"/>
      <c r="CN111" s="244"/>
    </row>
    <row r="112" spans="2:92" s="174" customFormat="1" ht="43.5" thickBot="1" x14ac:dyDescent="0.25">
      <c r="B112" s="1586"/>
      <c r="C112" s="1471"/>
      <c r="D112" s="1437"/>
      <c r="E112" s="1545"/>
      <c r="F112" s="1544"/>
      <c r="G112" s="315" t="str">
        <f>+'Plan de Accion apoyo transversa'!X108</f>
        <v>Jornada de salud sobre: Prevención cardiovascular realizada</v>
      </c>
      <c r="H112" s="1547"/>
      <c r="I112" s="175"/>
      <c r="J112" s="1515"/>
      <c r="K112" s="1448"/>
      <c r="L112" s="1448"/>
      <c r="M112" s="1448"/>
      <c r="N112" s="1448"/>
      <c r="O112" s="1448"/>
      <c r="P112" s="213"/>
      <c r="Q112" s="1515"/>
      <c r="R112" s="1448"/>
      <c r="S112" s="1448"/>
      <c r="T112" s="1448"/>
      <c r="U112" s="1448"/>
      <c r="V112" s="1451"/>
      <c r="W112" s="213"/>
      <c r="X112" s="1515"/>
      <c r="Y112" s="1448"/>
      <c r="Z112" s="1448"/>
      <c r="AA112" s="1454"/>
      <c r="AB112" s="1454"/>
      <c r="AC112" s="1457"/>
      <c r="AD112" s="213"/>
      <c r="AE112" s="1515"/>
      <c r="AF112" s="1448"/>
      <c r="AG112" s="1448"/>
      <c r="AH112" s="1448"/>
      <c r="AI112" s="1451"/>
      <c r="AJ112" s="247"/>
      <c r="AK112" s="1168"/>
      <c r="AL112" s="246"/>
      <c r="AM112" s="245"/>
      <c r="AN112" s="233"/>
      <c r="AO112" s="246"/>
      <c r="AP112" s="245"/>
      <c r="AQ112" s="233"/>
      <c r="AR112" s="246"/>
      <c r="AS112" s="245"/>
      <c r="AT112" s="233"/>
      <c r="AU112" s="246"/>
      <c r="AV112" s="245"/>
      <c r="AW112" s="233"/>
      <c r="AX112" s="244"/>
      <c r="AY112" s="233"/>
      <c r="AZ112" s="246"/>
      <c r="BA112" s="245"/>
      <c r="BB112" s="233"/>
      <c r="BC112" s="246"/>
      <c r="BD112" s="245"/>
      <c r="BE112" s="233"/>
      <c r="BF112" s="246"/>
      <c r="BG112" s="245"/>
      <c r="BH112" s="233"/>
      <c r="BI112" s="246"/>
      <c r="BJ112" s="245"/>
      <c r="BK112" s="233"/>
      <c r="BL112" s="244"/>
      <c r="BN112" s="246"/>
      <c r="BO112" s="245"/>
      <c r="BP112" s="233"/>
      <c r="BQ112" s="246"/>
      <c r="BR112" s="245"/>
      <c r="BS112" s="233"/>
      <c r="BT112" s="246"/>
      <c r="BU112" s="245"/>
      <c r="BV112" s="233"/>
      <c r="BW112" s="246"/>
      <c r="BX112" s="245"/>
      <c r="BY112" s="233"/>
      <c r="BZ112" s="244"/>
      <c r="CB112" s="246"/>
      <c r="CC112" s="245"/>
      <c r="CD112" s="233"/>
      <c r="CE112" s="246"/>
      <c r="CF112" s="245"/>
      <c r="CG112" s="233"/>
      <c r="CH112" s="246"/>
      <c r="CI112" s="245"/>
      <c r="CJ112" s="233"/>
      <c r="CK112" s="246"/>
      <c r="CL112" s="245"/>
      <c r="CM112" s="233"/>
      <c r="CN112" s="244"/>
    </row>
    <row r="113" spans="2:92" s="174" customFormat="1" ht="29.25" thickBot="1" x14ac:dyDescent="0.25">
      <c r="B113" s="1586"/>
      <c r="C113" s="1471"/>
      <c r="D113" s="1437"/>
      <c r="E113" s="1545"/>
      <c r="F113" s="1544"/>
      <c r="G113" s="315" t="str">
        <f>+'Plan de Accion apoyo transversa'!X109</f>
        <v>Jornada de salud sobre: Pausas activas realizadas</v>
      </c>
      <c r="H113" s="1547"/>
      <c r="I113" s="175"/>
      <c r="J113" s="1515"/>
      <c r="K113" s="1448"/>
      <c r="L113" s="1448"/>
      <c r="M113" s="1448"/>
      <c r="N113" s="1448"/>
      <c r="O113" s="1448"/>
      <c r="P113" s="213"/>
      <c r="Q113" s="1515"/>
      <c r="R113" s="1448"/>
      <c r="S113" s="1448"/>
      <c r="T113" s="1448"/>
      <c r="U113" s="1448"/>
      <c r="V113" s="1451"/>
      <c r="W113" s="213"/>
      <c r="X113" s="1515"/>
      <c r="Y113" s="1448"/>
      <c r="Z113" s="1448"/>
      <c r="AA113" s="1454"/>
      <c r="AB113" s="1454"/>
      <c r="AC113" s="1457"/>
      <c r="AD113" s="213"/>
      <c r="AE113" s="1515"/>
      <c r="AF113" s="1448"/>
      <c r="AG113" s="1448"/>
      <c r="AH113" s="1448"/>
      <c r="AI113" s="1451"/>
      <c r="AJ113" s="247"/>
      <c r="AK113" s="1168"/>
      <c r="AL113" s="246"/>
      <c r="AM113" s="245"/>
      <c r="AN113" s="233"/>
      <c r="AO113" s="246"/>
      <c r="AP113" s="245"/>
      <c r="AQ113" s="233"/>
      <c r="AR113" s="246"/>
      <c r="AS113" s="245"/>
      <c r="AT113" s="233"/>
      <c r="AU113" s="246"/>
      <c r="AV113" s="245"/>
      <c r="AW113" s="233"/>
      <c r="AX113" s="244"/>
      <c r="AY113" s="233"/>
      <c r="AZ113" s="246"/>
      <c r="BA113" s="245"/>
      <c r="BB113" s="233"/>
      <c r="BC113" s="246"/>
      <c r="BD113" s="245"/>
      <c r="BE113" s="233"/>
      <c r="BF113" s="246"/>
      <c r="BG113" s="245"/>
      <c r="BH113" s="233"/>
      <c r="BI113" s="246"/>
      <c r="BJ113" s="245"/>
      <c r="BK113" s="233"/>
      <c r="BL113" s="244"/>
      <c r="BN113" s="246"/>
      <c r="BO113" s="245"/>
      <c r="BP113" s="233"/>
      <c r="BQ113" s="246"/>
      <c r="BR113" s="245"/>
      <c r="BS113" s="233"/>
      <c r="BT113" s="246"/>
      <c r="BU113" s="245"/>
      <c r="BV113" s="233"/>
      <c r="BW113" s="246"/>
      <c r="BX113" s="245"/>
      <c r="BY113" s="233"/>
      <c r="BZ113" s="244"/>
      <c r="CB113" s="246"/>
      <c r="CC113" s="245"/>
      <c r="CD113" s="233"/>
      <c r="CE113" s="246"/>
      <c r="CF113" s="245"/>
      <c r="CG113" s="233"/>
      <c r="CH113" s="246"/>
      <c r="CI113" s="245"/>
      <c r="CJ113" s="233"/>
      <c r="CK113" s="246"/>
      <c r="CL113" s="245"/>
      <c r="CM113" s="233"/>
      <c r="CN113" s="244"/>
    </row>
    <row r="114" spans="2:92" s="174" customFormat="1" ht="29.25" thickBot="1" x14ac:dyDescent="0.25">
      <c r="B114" s="1586"/>
      <c r="C114" s="1471"/>
      <c r="D114" s="1437"/>
      <c r="E114" s="1545"/>
      <c r="F114" s="1544"/>
      <c r="G114" s="315" t="str">
        <f>+'Plan de Accion apoyo transversa'!X110</f>
        <v>Actividad de Incentivos realizada</v>
      </c>
      <c r="H114" s="1547"/>
      <c r="I114" s="175"/>
      <c r="J114" s="1515"/>
      <c r="K114" s="1448"/>
      <c r="L114" s="1448"/>
      <c r="M114" s="1448"/>
      <c r="N114" s="1448"/>
      <c r="O114" s="1448"/>
      <c r="P114" s="213"/>
      <c r="Q114" s="1515"/>
      <c r="R114" s="1448"/>
      <c r="S114" s="1448"/>
      <c r="T114" s="1448"/>
      <c r="U114" s="1448"/>
      <c r="V114" s="1451"/>
      <c r="W114" s="213"/>
      <c r="X114" s="1515"/>
      <c r="Y114" s="1448"/>
      <c r="Z114" s="1448"/>
      <c r="AA114" s="1454"/>
      <c r="AB114" s="1454"/>
      <c r="AC114" s="1457"/>
      <c r="AD114" s="213"/>
      <c r="AE114" s="1515"/>
      <c r="AF114" s="1448"/>
      <c r="AG114" s="1448"/>
      <c r="AH114" s="1448"/>
      <c r="AI114" s="1451"/>
      <c r="AJ114" s="247"/>
      <c r="AK114" s="1168"/>
      <c r="AL114" s="246"/>
      <c r="AM114" s="245"/>
      <c r="AN114" s="233"/>
      <c r="AO114" s="246"/>
      <c r="AP114" s="245"/>
      <c r="AQ114" s="233"/>
      <c r="AR114" s="246"/>
      <c r="AS114" s="245"/>
      <c r="AT114" s="233"/>
      <c r="AU114" s="246"/>
      <c r="AV114" s="245"/>
      <c r="AW114" s="233"/>
      <c r="AX114" s="244"/>
      <c r="AY114" s="233"/>
      <c r="AZ114" s="246"/>
      <c r="BA114" s="245"/>
      <c r="BB114" s="233"/>
      <c r="BC114" s="246"/>
      <c r="BD114" s="245"/>
      <c r="BE114" s="233"/>
      <c r="BF114" s="246"/>
      <c r="BG114" s="245"/>
      <c r="BH114" s="233"/>
      <c r="BI114" s="246"/>
      <c r="BJ114" s="245"/>
      <c r="BK114" s="233"/>
      <c r="BL114" s="244"/>
      <c r="BN114" s="246"/>
      <c r="BO114" s="245"/>
      <c r="BP114" s="233"/>
      <c r="BQ114" s="246"/>
      <c r="BR114" s="245"/>
      <c r="BS114" s="233"/>
      <c r="BT114" s="246"/>
      <c r="BU114" s="245"/>
      <c r="BV114" s="233"/>
      <c r="BW114" s="246"/>
      <c r="BX114" s="245"/>
      <c r="BY114" s="233"/>
      <c r="BZ114" s="244"/>
      <c r="CB114" s="246"/>
      <c r="CC114" s="245"/>
      <c r="CD114" s="233"/>
      <c r="CE114" s="246"/>
      <c r="CF114" s="245"/>
      <c r="CG114" s="233"/>
      <c r="CH114" s="246"/>
      <c r="CI114" s="245"/>
      <c r="CJ114" s="233"/>
      <c r="CK114" s="246"/>
      <c r="CL114" s="245"/>
      <c r="CM114" s="233"/>
      <c r="CN114" s="244"/>
    </row>
    <row r="115" spans="2:92" s="174" customFormat="1" ht="29.25" thickBot="1" x14ac:dyDescent="0.25">
      <c r="B115" s="1586"/>
      <c r="C115" s="1471"/>
      <c r="D115" s="1437"/>
      <c r="E115" s="1545"/>
      <c r="F115" s="1544"/>
      <c r="G115" s="315" t="str">
        <f>+'Plan de Accion apoyo transversa'!X111</f>
        <v>Actividad de Cierre de gestión realizada</v>
      </c>
      <c r="H115" s="1547"/>
      <c r="I115" s="175"/>
      <c r="J115" s="1515"/>
      <c r="K115" s="1448"/>
      <c r="L115" s="1448"/>
      <c r="M115" s="1448"/>
      <c r="N115" s="1448"/>
      <c r="O115" s="1448"/>
      <c r="P115" s="213"/>
      <c r="Q115" s="1515"/>
      <c r="R115" s="1448"/>
      <c r="S115" s="1448"/>
      <c r="T115" s="1448"/>
      <c r="U115" s="1448"/>
      <c r="V115" s="1451"/>
      <c r="W115" s="213"/>
      <c r="X115" s="1515"/>
      <c r="Y115" s="1448"/>
      <c r="Z115" s="1448"/>
      <c r="AA115" s="1454"/>
      <c r="AB115" s="1454"/>
      <c r="AC115" s="1457"/>
      <c r="AD115" s="213"/>
      <c r="AE115" s="1515"/>
      <c r="AF115" s="1448"/>
      <c r="AG115" s="1448"/>
      <c r="AH115" s="1448"/>
      <c r="AI115" s="1451"/>
      <c r="AJ115" s="247"/>
      <c r="AK115" s="1168"/>
      <c r="AL115" s="246"/>
      <c r="AM115" s="245"/>
      <c r="AN115" s="233"/>
      <c r="AO115" s="246"/>
      <c r="AP115" s="245"/>
      <c r="AQ115" s="233"/>
      <c r="AR115" s="246"/>
      <c r="AS115" s="245"/>
      <c r="AT115" s="233"/>
      <c r="AU115" s="246"/>
      <c r="AV115" s="245"/>
      <c r="AW115" s="233"/>
      <c r="AX115" s="244"/>
      <c r="AY115" s="233"/>
      <c r="AZ115" s="246"/>
      <c r="BA115" s="245"/>
      <c r="BB115" s="233"/>
      <c r="BC115" s="246"/>
      <c r="BD115" s="245"/>
      <c r="BE115" s="233"/>
      <c r="BF115" s="246"/>
      <c r="BG115" s="245"/>
      <c r="BH115" s="233"/>
      <c r="BI115" s="246"/>
      <c r="BJ115" s="245"/>
      <c r="BK115" s="233"/>
      <c r="BL115" s="244"/>
      <c r="BN115" s="246"/>
      <c r="BO115" s="245"/>
      <c r="BP115" s="233"/>
      <c r="BQ115" s="246"/>
      <c r="BR115" s="245"/>
      <c r="BS115" s="233"/>
      <c r="BT115" s="246"/>
      <c r="BU115" s="245"/>
      <c r="BV115" s="233"/>
      <c r="BW115" s="246"/>
      <c r="BX115" s="245"/>
      <c r="BY115" s="233"/>
      <c r="BZ115" s="244"/>
      <c r="CB115" s="246"/>
      <c r="CC115" s="245"/>
      <c r="CD115" s="233"/>
      <c r="CE115" s="246"/>
      <c r="CF115" s="245"/>
      <c r="CG115" s="233"/>
      <c r="CH115" s="246"/>
      <c r="CI115" s="245"/>
      <c r="CJ115" s="233"/>
      <c r="CK115" s="246"/>
      <c r="CL115" s="245"/>
      <c r="CM115" s="233"/>
      <c r="CN115" s="244"/>
    </row>
    <row r="116" spans="2:92" s="174" customFormat="1" ht="20.25" thickBot="1" x14ac:dyDescent="0.25">
      <c r="B116" s="1586"/>
      <c r="C116" s="1471"/>
      <c r="D116" s="1437"/>
      <c r="E116" s="1545"/>
      <c r="F116" s="1544"/>
      <c r="G116" s="550" t="str">
        <f>+'Plan de Accion apoyo transversa'!X112</f>
        <v>Gimnasio convenio</v>
      </c>
      <c r="H116" s="1547"/>
      <c r="I116" s="175"/>
      <c r="J116" s="1515"/>
      <c r="K116" s="1448"/>
      <c r="L116" s="1448"/>
      <c r="M116" s="1448"/>
      <c r="N116" s="1448"/>
      <c r="O116" s="1448"/>
      <c r="P116" s="213"/>
      <c r="Q116" s="1515"/>
      <c r="R116" s="1448"/>
      <c r="S116" s="1448"/>
      <c r="T116" s="1448"/>
      <c r="U116" s="1448"/>
      <c r="V116" s="1451"/>
      <c r="W116" s="213"/>
      <c r="X116" s="1515"/>
      <c r="Y116" s="1448"/>
      <c r="Z116" s="1448"/>
      <c r="AA116" s="1454"/>
      <c r="AB116" s="1454"/>
      <c r="AC116" s="1457"/>
      <c r="AD116" s="213"/>
      <c r="AE116" s="1515"/>
      <c r="AF116" s="1448"/>
      <c r="AG116" s="1448"/>
      <c r="AH116" s="1448"/>
      <c r="AI116" s="1451"/>
      <c r="AJ116" s="247"/>
      <c r="AK116" s="1168"/>
      <c r="AL116" s="246"/>
      <c r="AM116" s="245"/>
      <c r="AN116" s="233"/>
      <c r="AO116" s="246"/>
      <c r="AP116" s="245"/>
      <c r="AQ116" s="233"/>
      <c r="AR116" s="246"/>
      <c r="AS116" s="245"/>
      <c r="AT116" s="233"/>
      <c r="AU116" s="246"/>
      <c r="AV116" s="245"/>
      <c r="AW116" s="233"/>
      <c r="AX116" s="244"/>
      <c r="AY116" s="233"/>
      <c r="AZ116" s="246"/>
      <c r="BA116" s="245"/>
      <c r="BB116" s="233"/>
      <c r="BC116" s="246"/>
      <c r="BD116" s="245"/>
      <c r="BE116" s="233"/>
      <c r="BF116" s="246"/>
      <c r="BG116" s="245"/>
      <c r="BH116" s="233"/>
      <c r="BI116" s="246"/>
      <c r="BJ116" s="245"/>
      <c r="BK116" s="233"/>
      <c r="BL116" s="244"/>
      <c r="BN116" s="246"/>
      <c r="BO116" s="245"/>
      <c r="BP116" s="233"/>
      <c r="BQ116" s="246"/>
      <c r="BR116" s="245"/>
      <c r="BS116" s="233"/>
      <c r="BT116" s="246"/>
      <c r="BU116" s="245"/>
      <c r="BV116" s="233"/>
      <c r="BW116" s="246"/>
      <c r="BX116" s="245"/>
      <c r="BY116" s="233"/>
      <c r="BZ116" s="244"/>
      <c r="CB116" s="246"/>
      <c r="CC116" s="245"/>
      <c r="CD116" s="233"/>
      <c r="CE116" s="246"/>
      <c r="CF116" s="245"/>
      <c r="CG116" s="233"/>
      <c r="CH116" s="246"/>
      <c r="CI116" s="245"/>
      <c r="CJ116" s="233"/>
      <c r="CK116" s="246"/>
      <c r="CL116" s="245"/>
      <c r="CM116" s="233"/>
      <c r="CN116" s="244"/>
    </row>
    <row r="117" spans="2:92" s="174" customFormat="1" ht="29.25" thickBot="1" x14ac:dyDescent="0.25">
      <c r="B117" s="1586"/>
      <c r="C117" s="1471"/>
      <c r="D117" s="1437"/>
      <c r="E117" s="1545"/>
      <c r="F117" s="1544"/>
      <c r="G117" s="550" t="str">
        <f>+'Plan de Accion apoyo transversa'!X99</f>
        <v>Vacaciones recreativas realizadas</v>
      </c>
      <c r="H117" s="1547"/>
      <c r="I117" s="175"/>
      <c r="J117" s="1516"/>
      <c r="K117" s="1449"/>
      <c r="L117" s="1449"/>
      <c r="M117" s="1449"/>
      <c r="N117" s="1449"/>
      <c r="O117" s="1449"/>
      <c r="P117" s="213"/>
      <c r="Q117" s="1516"/>
      <c r="R117" s="1449"/>
      <c r="S117" s="1449"/>
      <c r="T117" s="1449"/>
      <c r="U117" s="1449"/>
      <c r="V117" s="1452"/>
      <c r="W117" s="213"/>
      <c r="X117" s="1516"/>
      <c r="Y117" s="1449"/>
      <c r="Z117" s="1449"/>
      <c r="AA117" s="1455"/>
      <c r="AB117" s="1455"/>
      <c r="AC117" s="1458"/>
      <c r="AD117" s="213"/>
      <c r="AE117" s="1516"/>
      <c r="AF117" s="1449"/>
      <c r="AG117" s="1449"/>
      <c r="AH117" s="1449"/>
      <c r="AI117" s="1452"/>
      <c r="AJ117" s="247"/>
      <c r="AK117" s="1168"/>
      <c r="AL117" s="246"/>
      <c r="AM117" s="245"/>
      <c r="AN117" s="233"/>
      <c r="AO117" s="246"/>
      <c r="AP117" s="245"/>
      <c r="AQ117" s="233"/>
      <c r="AR117" s="246"/>
      <c r="AS117" s="245"/>
      <c r="AT117" s="233"/>
      <c r="AU117" s="246"/>
      <c r="AV117" s="245"/>
      <c r="AW117" s="233"/>
      <c r="AX117" s="244"/>
      <c r="AY117" s="233"/>
      <c r="AZ117" s="246"/>
      <c r="BA117" s="245"/>
      <c r="BB117" s="233"/>
      <c r="BC117" s="246"/>
      <c r="BD117" s="245"/>
      <c r="BE117" s="233"/>
      <c r="BF117" s="246"/>
      <c r="BG117" s="245"/>
      <c r="BH117" s="233"/>
      <c r="BI117" s="246"/>
      <c r="BJ117" s="245"/>
      <c r="BK117" s="233"/>
      <c r="BL117" s="244"/>
      <c r="BN117" s="246"/>
      <c r="BO117" s="245"/>
      <c r="BP117" s="233"/>
      <c r="BQ117" s="246"/>
      <c r="BR117" s="245"/>
      <c r="BS117" s="233"/>
      <c r="BT117" s="246"/>
      <c r="BU117" s="245"/>
      <c r="BV117" s="233"/>
      <c r="BW117" s="246"/>
      <c r="BX117" s="245"/>
      <c r="BY117" s="233"/>
      <c r="BZ117" s="244"/>
      <c r="CB117" s="246"/>
      <c r="CC117" s="245"/>
      <c r="CD117" s="233"/>
      <c r="CE117" s="246"/>
      <c r="CF117" s="245"/>
      <c r="CG117" s="233"/>
      <c r="CH117" s="246"/>
      <c r="CI117" s="245"/>
      <c r="CJ117" s="233"/>
      <c r="CK117" s="246"/>
      <c r="CL117" s="245"/>
      <c r="CM117" s="233"/>
      <c r="CN117" s="244"/>
    </row>
    <row r="118" spans="2:92" s="174" customFormat="1" ht="29.25" thickBot="1" x14ac:dyDescent="0.25">
      <c r="B118" s="1586"/>
      <c r="C118" s="1471"/>
      <c r="D118" s="1437"/>
      <c r="E118" s="1545"/>
      <c r="F118" s="1544"/>
      <c r="G118" s="315" t="str">
        <f>+'Plan de Accion apoyo transversa'!X114</f>
        <v>Medición del clima laboral realizada</v>
      </c>
      <c r="H118" s="1547"/>
      <c r="I118" s="175"/>
      <c r="J118" s="214" t="e">
        <f>+'Plan de Accion apoyo transversa'!AW114</f>
        <v>#DIV/0!</v>
      </c>
      <c r="K118" s="476" t="str">
        <f>+'Plan de Accion apoyo transversa'!CF114</f>
        <v>No Prog ni Ejec</v>
      </c>
      <c r="L118" s="476" t="s">
        <v>204</v>
      </c>
      <c r="M118" s="650" t="s">
        <v>204</v>
      </c>
      <c r="N118" s="650" t="s">
        <v>204</v>
      </c>
      <c r="O118" s="476" t="s">
        <v>204</v>
      </c>
      <c r="P118" s="213"/>
      <c r="Q118" s="214" t="e">
        <f>+'Plan de Accion apoyo transversa'!BG114</f>
        <v>#DIV/0!</v>
      </c>
      <c r="R118" s="248" t="str">
        <f>+'Plan de Accion apoyo transversa'!CH114</f>
        <v>No Prog ni Ejec</v>
      </c>
      <c r="S118" s="212" t="s">
        <v>204</v>
      </c>
      <c r="T118" s="304" t="s">
        <v>204</v>
      </c>
      <c r="U118" s="304" t="s">
        <v>204</v>
      </c>
      <c r="V118" s="211" t="s">
        <v>204</v>
      </c>
      <c r="W118" s="213"/>
      <c r="X118" s="214">
        <f>+'Plan de Accion apoyo transversa'!BQ114</f>
        <v>0</v>
      </c>
      <c r="Y118" s="248">
        <f>+'Plan de Accion apoyo transversa'!CJ114</f>
        <v>0</v>
      </c>
      <c r="Z118" s="212">
        <f t="shared" ref="Z118" si="70">IF(Y118&gt;100%,100%,Y118)</f>
        <v>0</v>
      </c>
      <c r="AA118" s="217">
        <f>+'Plan de Accion apoyo transversa'!BS114</f>
        <v>0</v>
      </c>
      <c r="AB118" s="217">
        <f t="shared" ref="AB118" si="71">IF(AA118&gt;100%,100%,AA118)</f>
        <v>0</v>
      </c>
      <c r="AC118" s="1155">
        <f t="shared" ref="AC118" si="72">+AB118</f>
        <v>0</v>
      </c>
      <c r="AD118" s="213"/>
      <c r="AE118" s="214" t="e">
        <f>+'Plan de Accion apoyo transversa'!CA114</f>
        <v>#DIV/0!</v>
      </c>
      <c r="AF118" s="248" t="str">
        <f>+'Plan de Accion apoyo transversa'!CL114</f>
        <v>No Prog, Ejec=  5999550</v>
      </c>
      <c r="AG118" s="212">
        <f>IF(AF118&gt;100%,100%,AF118)</f>
        <v>1</v>
      </c>
      <c r="AH118" s="248">
        <f>+'Plan de Accion apoyo transversa'!CC114</f>
        <v>1</v>
      </c>
      <c r="AI118" s="211">
        <f t="shared" ref="AI118" si="73">IF(AH118&gt;100%,100%,AH118)</f>
        <v>1</v>
      </c>
      <c r="AJ118" s="247"/>
      <c r="AK118" s="1168"/>
      <c r="AL118" s="246"/>
      <c r="AM118" s="245"/>
      <c r="AN118" s="233"/>
      <c r="AO118" s="246"/>
      <c r="AP118" s="245"/>
      <c r="AQ118" s="233"/>
      <c r="AR118" s="246"/>
      <c r="AS118" s="245"/>
      <c r="AT118" s="233"/>
      <c r="AU118" s="246"/>
      <c r="AV118" s="245"/>
      <c r="AW118" s="233"/>
      <c r="AX118" s="244"/>
      <c r="AY118" s="233"/>
      <c r="AZ118" s="246"/>
      <c r="BA118" s="245"/>
      <c r="BB118" s="233"/>
      <c r="BC118" s="246"/>
      <c r="BD118" s="245"/>
      <c r="BE118" s="233"/>
      <c r="BF118" s="246"/>
      <c r="BG118" s="245"/>
      <c r="BH118" s="233"/>
      <c r="BI118" s="246"/>
      <c r="BJ118" s="245"/>
      <c r="BK118" s="233"/>
      <c r="BL118" s="244"/>
      <c r="BN118" s="246"/>
      <c r="BO118" s="245"/>
      <c r="BP118" s="233"/>
      <c r="BQ118" s="246"/>
      <c r="BR118" s="245"/>
      <c r="BS118" s="233"/>
      <c r="BT118" s="246"/>
      <c r="BU118" s="245"/>
      <c r="BV118" s="233"/>
      <c r="BW118" s="246"/>
      <c r="BX118" s="245"/>
      <c r="BY118" s="233"/>
      <c r="BZ118" s="244"/>
      <c r="CB118" s="246"/>
      <c r="CC118" s="245"/>
      <c r="CD118" s="233"/>
      <c r="CE118" s="246"/>
      <c r="CF118" s="245"/>
      <c r="CG118" s="233"/>
      <c r="CH118" s="246"/>
      <c r="CI118" s="245"/>
      <c r="CJ118" s="233"/>
      <c r="CK118" s="246"/>
      <c r="CL118" s="245"/>
      <c r="CM118" s="233"/>
      <c r="CN118" s="244"/>
    </row>
    <row r="119" spans="2:92" s="174" customFormat="1" ht="29.25" thickBot="1" x14ac:dyDescent="0.25">
      <c r="B119" s="1586"/>
      <c r="C119" s="1471"/>
      <c r="D119" s="1437"/>
      <c r="E119" s="1545"/>
      <c r="F119" s="1544"/>
      <c r="G119" s="315" t="str">
        <f>+'Plan de Accion apoyo transversa'!X115</f>
        <v>Jornada de salud sobre: Salud visual realizada</v>
      </c>
      <c r="H119" s="1547"/>
      <c r="I119" s="175"/>
      <c r="J119" s="214" t="e">
        <f>+'Plan de Accion apoyo transversa'!AW115</f>
        <v>#DIV/0!</v>
      </c>
      <c r="K119" s="476" t="str">
        <f>+'Plan de Accion apoyo transversa'!CF115</f>
        <v>No Prog ni Ejec</v>
      </c>
      <c r="L119" s="476" t="s">
        <v>204</v>
      </c>
      <c r="M119" s="476">
        <f>+'Plan de Accion apoyo transversa'!AY115</f>
        <v>0</v>
      </c>
      <c r="N119" s="476">
        <f t="shared" si="66"/>
        <v>0</v>
      </c>
      <c r="O119" s="476" t="s">
        <v>204</v>
      </c>
      <c r="P119" s="213"/>
      <c r="Q119" s="214" t="s">
        <v>204</v>
      </c>
      <c r="R119" s="248" t="s">
        <v>180</v>
      </c>
      <c r="S119" s="212" t="s">
        <v>204</v>
      </c>
      <c r="T119" s="304" t="s">
        <v>204</v>
      </c>
      <c r="U119" s="304" t="s">
        <v>204</v>
      </c>
      <c r="V119" s="211" t="str">
        <f t="shared" si="69"/>
        <v>N.A</v>
      </c>
      <c r="W119" s="213"/>
      <c r="X119" s="214" t="s">
        <v>204</v>
      </c>
      <c r="Y119" s="248" t="str">
        <f>+'Plan de Accion apoyo transversa'!CJ115</f>
        <v>No Prog ni Ejec</v>
      </c>
      <c r="Z119" s="212" t="s">
        <v>204</v>
      </c>
      <c r="AA119" s="217" t="s">
        <v>204</v>
      </c>
      <c r="AB119" s="217" t="s">
        <v>204</v>
      </c>
      <c r="AC119" s="302" t="str">
        <f t="shared" ref="AC119" si="74">+AB119</f>
        <v>N.A</v>
      </c>
      <c r="AD119" s="213"/>
      <c r="AE119" s="214" t="s">
        <v>204</v>
      </c>
      <c r="AF119" s="248" t="s">
        <v>180</v>
      </c>
      <c r="AG119" s="212" t="s">
        <v>204</v>
      </c>
      <c r="AH119" s="248" t="s">
        <v>204</v>
      </c>
      <c r="AI119" s="211" t="s">
        <v>204</v>
      </c>
      <c r="AJ119" s="247"/>
      <c r="AK119" s="1168"/>
      <c r="AL119" s="246"/>
      <c r="AM119" s="245"/>
      <c r="AN119" s="233"/>
      <c r="AO119" s="246"/>
      <c r="AP119" s="245"/>
      <c r="AQ119" s="233"/>
      <c r="AR119" s="246"/>
      <c r="AS119" s="245"/>
      <c r="AT119" s="233"/>
      <c r="AU119" s="246"/>
      <c r="AV119" s="245"/>
      <c r="AW119" s="233"/>
      <c r="AX119" s="244"/>
      <c r="AY119" s="233"/>
      <c r="AZ119" s="246"/>
      <c r="BA119" s="245"/>
      <c r="BB119" s="233"/>
      <c r="BC119" s="246"/>
      <c r="BD119" s="245"/>
      <c r="BE119" s="233"/>
      <c r="BF119" s="246"/>
      <c r="BG119" s="245"/>
      <c r="BH119" s="233"/>
      <c r="BI119" s="246"/>
      <c r="BJ119" s="245"/>
      <c r="BK119" s="233"/>
      <c r="BL119" s="244"/>
      <c r="BN119" s="246"/>
      <c r="BO119" s="245"/>
      <c r="BP119" s="233"/>
      <c r="BQ119" s="246"/>
      <c r="BR119" s="245"/>
      <c r="BS119" s="233"/>
      <c r="BT119" s="246"/>
      <c r="BU119" s="245"/>
      <c r="BV119" s="233"/>
      <c r="BW119" s="246"/>
      <c r="BX119" s="245"/>
      <c r="BY119" s="233"/>
      <c r="BZ119" s="244"/>
      <c r="CB119" s="246"/>
      <c r="CC119" s="245"/>
      <c r="CD119" s="233"/>
      <c r="CE119" s="246"/>
      <c r="CF119" s="245"/>
      <c r="CG119" s="233"/>
      <c r="CH119" s="246"/>
      <c r="CI119" s="245"/>
      <c r="CJ119" s="233"/>
      <c r="CK119" s="246"/>
      <c r="CL119" s="245"/>
      <c r="CM119" s="233"/>
      <c r="CN119" s="244"/>
    </row>
    <row r="120" spans="2:92" s="174" customFormat="1" ht="33.75" customHeight="1" thickBot="1" x14ac:dyDescent="0.25">
      <c r="B120" s="1586"/>
      <c r="C120" s="1471"/>
      <c r="D120" s="1437"/>
      <c r="E120" s="1545"/>
      <c r="F120" s="1544"/>
      <c r="G120" s="315" t="str">
        <f>+'Plan de Accion apoyo transversa'!X116</f>
        <v>Jornada de salud sobre: Salud Oral realizada</v>
      </c>
      <c r="H120" s="1547"/>
      <c r="I120" s="175"/>
      <c r="J120" s="214" t="e">
        <f>+'Plan de Accion apoyo transversa'!AW116</f>
        <v>#DIV/0!</v>
      </c>
      <c r="K120" s="476" t="str">
        <f>+'Plan de Accion apoyo transversa'!CF116</f>
        <v>No Prog ni Ejec</v>
      </c>
      <c r="L120" s="476" t="s">
        <v>204</v>
      </c>
      <c r="M120" s="476">
        <f>+'Plan de Accion apoyo transversa'!AY116</f>
        <v>0</v>
      </c>
      <c r="N120" s="476">
        <f t="shared" si="66"/>
        <v>0</v>
      </c>
      <c r="O120" s="476" t="s">
        <v>204</v>
      </c>
      <c r="P120" s="213"/>
      <c r="Q120" s="214" t="s">
        <v>204</v>
      </c>
      <c r="R120" s="248" t="s">
        <v>180</v>
      </c>
      <c r="S120" s="212" t="s">
        <v>204</v>
      </c>
      <c r="T120" s="544" t="s">
        <v>204</v>
      </c>
      <c r="U120" s="544" t="s">
        <v>204</v>
      </c>
      <c r="V120" s="211" t="str">
        <f t="shared" ref="V120" si="75">+U120</f>
        <v>N.A</v>
      </c>
      <c r="W120" s="213"/>
      <c r="X120" s="214" t="s">
        <v>204</v>
      </c>
      <c r="Y120" s="248" t="str">
        <f>+'Plan de Accion apoyo transversa'!CJ116</f>
        <v>No Prog ni Ejec</v>
      </c>
      <c r="Z120" s="212" t="s">
        <v>204</v>
      </c>
      <c r="AA120" s="217" t="s">
        <v>204</v>
      </c>
      <c r="AB120" s="217" t="s">
        <v>204</v>
      </c>
      <c r="AC120" s="548" t="str">
        <f t="shared" ref="AC120" si="76">+AB120</f>
        <v>N.A</v>
      </c>
      <c r="AD120" s="213"/>
      <c r="AE120" s="214" t="s">
        <v>204</v>
      </c>
      <c r="AF120" s="248" t="s">
        <v>180</v>
      </c>
      <c r="AG120" s="212" t="s">
        <v>204</v>
      </c>
      <c r="AH120" s="248" t="s">
        <v>204</v>
      </c>
      <c r="AI120" s="211" t="s">
        <v>204</v>
      </c>
      <c r="AJ120" s="247"/>
      <c r="AK120" s="1168"/>
      <c r="AL120" s="246"/>
      <c r="AM120" s="245"/>
      <c r="AN120" s="233"/>
      <c r="AO120" s="246"/>
      <c r="AP120" s="245"/>
      <c r="AQ120" s="233"/>
      <c r="AR120" s="246"/>
      <c r="AS120" s="245"/>
      <c r="AT120" s="233"/>
      <c r="AU120" s="246"/>
      <c r="AV120" s="245"/>
      <c r="AW120" s="233"/>
      <c r="AX120" s="244"/>
      <c r="AY120" s="233"/>
      <c r="AZ120" s="246"/>
      <c r="BA120" s="245"/>
      <c r="BB120" s="233"/>
      <c r="BC120" s="246"/>
      <c r="BD120" s="245"/>
      <c r="BE120" s="233"/>
      <c r="BF120" s="246"/>
      <c r="BG120" s="245"/>
      <c r="BH120" s="233"/>
      <c r="BI120" s="246"/>
      <c r="BJ120" s="245"/>
      <c r="BK120" s="233"/>
      <c r="BL120" s="244"/>
      <c r="BN120" s="246"/>
      <c r="BO120" s="245"/>
      <c r="BP120" s="233"/>
      <c r="BQ120" s="246"/>
      <c r="BR120" s="245"/>
      <c r="BS120" s="233"/>
      <c r="BT120" s="246"/>
      <c r="BU120" s="245"/>
      <c r="BV120" s="233"/>
      <c r="BW120" s="246"/>
      <c r="BX120" s="245"/>
      <c r="BY120" s="233"/>
      <c r="BZ120" s="244"/>
      <c r="CB120" s="246"/>
      <c r="CC120" s="245"/>
      <c r="CD120" s="233"/>
      <c r="CE120" s="246"/>
      <c r="CF120" s="245"/>
      <c r="CG120" s="233"/>
      <c r="CH120" s="246"/>
      <c r="CI120" s="245"/>
      <c r="CJ120" s="233"/>
      <c r="CK120" s="246"/>
      <c r="CL120" s="245"/>
      <c r="CM120" s="233"/>
      <c r="CN120" s="244"/>
    </row>
    <row r="121" spans="2:92" s="174" customFormat="1" ht="43.5" thickBot="1" x14ac:dyDescent="0.25">
      <c r="B121" s="1586"/>
      <c r="C121" s="1471"/>
      <c r="D121" s="1437"/>
      <c r="E121" s="1545"/>
      <c r="F121" s="1544"/>
      <c r="G121" s="315" t="str">
        <f>+'Plan de Accion apoyo transversa'!X117</f>
        <v>Jornada de salud sobre: Prevención del cáncer realizada</v>
      </c>
      <c r="H121" s="1547"/>
      <c r="I121" s="175"/>
      <c r="J121" s="214" t="e">
        <f>+'Plan de Accion apoyo transversa'!AW117</f>
        <v>#DIV/0!</v>
      </c>
      <c r="K121" s="476" t="str">
        <f>+'Plan de Accion apoyo transversa'!CF117</f>
        <v>No Prog ni Ejec</v>
      </c>
      <c r="L121" s="476" t="s">
        <v>204</v>
      </c>
      <c r="M121" s="476">
        <f>+'Plan de Accion apoyo transversa'!AY117</f>
        <v>0</v>
      </c>
      <c r="N121" s="476">
        <f t="shared" si="66"/>
        <v>0</v>
      </c>
      <c r="O121" s="476" t="s">
        <v>204</v>
      </c>
      <c r="P121" s="213"/>
      <c r="Q121" s="214" t="s">
        <v>204</v>
      </c>
      <c r="R121" s="248" t="s">
        <v>180</v>
      </c>
      <c r="S121" s="212" t="s">
        <v>204</v>
      </c>
      <c r="T121" s="544" t="s">
        <v>204</v>
      </c>
      <c r="U121" s="544" t="s">
        <v>204</v>
      </c>
      <c r="V121" s="211" t="str">
        <f t="shared" ref="V121" si="77">+U121</f>
        <v>N.A</v>
      </c>
      <c r="W121" s="213"/>
      <c r="X121" s="214" t="s">
        <v>204</v>
      </c>
      <c r="Y121" s="248" t="str">
        <f>+'Plan de Accion apoyo transversa'!CJ117</f>
        <v>No Prog ni Ejec</v>
      </c>
      <c r="Z121" s="212" t="s">
        <v>204</v>
      </c>
      <c r="AA121" s="217" t="s">
        <v>204</v>
      </c>
      <c r="AB121" s="217" t="s">
        <v>204</v>
      </c>
      <c r="AC121" s="548" t="str">
        <f t="shared" ref="AC121" si="78">+AB121</f>
        <v>N.A</v>
      </c>
      <c r="AD121" s="213"/>
      <c r="AE121" s="214" t="s">
        <v>204</v>
      </c>
      <c r="AF121" s="248" t="s">
        <v>180</v>
      </c>
      <c r="AG121" s="212" t="s">
        <v>204</v>
      </c>
      <c r="AH121" s="248" t="s">
        <v>204</v>
      </c>
      <c r="AI121" s="211" t="s">
        <v>204</v>
      </c>
      <c r="AJ121" s="247"/>
      <c r="AK121" s="1168"/>
      <c r="AL121" s="246"/>
      <c r="AM121" s="245"/>
      <c r="AN121" s="233"/>
      <c r="AO121" s="246"/>
      <c r="AP121" s="245"/>
      <c r="AQ121" s="233"/>
      <c r="AR121" s="246"/>
      <c r="AS121" s="245"/>
      <c r="AT121" s="233"/>
      <c r="AU121" s="246"/>
      <c r="AV121" s="245"/>
      <c r="AW121" s="233"/>
      <c r="AX121" s="244"/>
      <c r="AY121" s="233"/>
      <c r="AZ121" s="246"/>
      <c r="BA121" s="245"/>
      <c r="BB121" s="233"/>
      <c r="BC121" s="246"/>
      <c r="BD121" s="245"/>
      <c r="BE121" s="233"/>
      <c r="BF121" s="246"/>
      <c r="BG121" s="245"/>
      <c r="BH121" s="233"/>
      <c r="BI121" s="246"/>
      <c r="BJ121" s="245"/>
      <c r="BK121" s="233"/>
      <c r="BL121" s="244"/>
      <c r="BN121" s="246"/>
      <c r="BO121" s="245"/>
      <c r="BP121" s="233"/>
      <c r="BQ121" s="246"/>
      <c r="BR121" s="245"/>
      <c r="BS121" s="233"/>
      <c r="BT121" s="246"/>
      <c r="BU121" s="245"/>
      <c r="BV121" s="233"/>
      <c r="BW121" s="246"/>
      <c r="BX121" s="245"/>
      <c r="BY121" s="233"/>
      <c r="BZ121" s="244"/>
      <c r="CB121" s="246"/>
      <c r="CC121" s="245"/>
      <c r="CD121" s="233"/>
      <c r="CE121" s="246"/>
      <c r="CF121" s="245"/>
      <c r="CG121" s="233"/>
      <c r="CH121" s="246"/>
      <c r="CI121" s="245"/>
      <c r="CJ121" s="233"/>
      <c r="CK121" s="246"/>
      <c r="CL121" s="245"/>
      <c r="CM121" s="233"/>
      <c r="CN121" s="244"/>
    </row>
    <row r="122" spans="2:92" s="174" customFormat="1" ht="57.75" thickBot="1" x14ac:dyDescent="0.25">
      <c r="B122" s="1586"/>
      <c r="C122" s="1471"/>
      <c r="D122" s="1437"/>
      <c r="E122" s="1545"/>
      <c r="F122" s="851"/>
      <c r="G122" s="315" t="str">
        <f>+'Plan de Accion apoyo transversa'!X122</f>
        <v>Gestión de Servicio al ciudadano de la entidad  por los diferentes canales  de atención.</v>
      </c>
      <c r="H122" s="1547"/>
      <c r="I122" s="175"/>
      <c r="J122" s="214">
        <f>+'Plan de Accion apoyo transversa'!AW122</f>
        <v>0.70647303946179063</v>
      </c>
      <c r="K122" s="476">
        <f>+'Plan de Accion apoyo transversa'!CF122</f>
        <v>0.70647303946179063</v>
      </c>
      <c r="L122" s="476">
        <f>IF(K122&gt;100%,100%,K122)</f>
        <v>0.70647303946179063</v>
      </c>
      <c r="M122" s="476">
        <f>+'Plan de Accion apoyo transversa'!AY122</f>
        <v>0.17661825986544766</v>
      </c>
      <c r="N122" s="476">
        <f t="shared" si="66"/>
        <v>0.17661825986544766</v>
      </c>
      <c r="O122" s="476">
        <f t="shared" ref="O122:O127" si="79">+N122</f>
        <v>0.17661825986544766</v>
      </c>
      <c r="P122" s="213"/>
      <c r="Q122" s="214">
        <f>+'Plan de Accion apoyo transversa'!BG122</f>
        <v>1.0596902388003862</v>
      </c>
      <c r="R122" s="248">
        <f>+'Plan de Accion apoyo transversa'!CH122</f>
        <v>1.0596902388003862</v>
      </c>
      <c r="S122" s="212">
        <f>IF(R122&gt;100%,100%,R122)</f>
        <v>1</v>
      </c>
      <c r="T122" s="304">
        <f>+'Plan de Accion apoyo transversa'!BI122</f>
        <v>0.4415408195655442</v>
      </c>
      <c r="U122" s="304">
        <f t="shared" si="62"/>
        <v>0.4415408195655442</v>
      </c>
      <c r="V122" s="211">
        <f t="shared" si="69"/>
        <v>0.4415408195655442</v>
      </c>
      <c r="W122" s="213">
        <v>1</v>
      </c>
      <c r="X122" s="214">
        <f>+'Plan de Accion apoyo transversa'!BQ122</f>
        <v>1.0597292750084875</v>
      </c>
      <c r="Y122" s="248">
        <f>+'Plan de Accion apoyo transversa'!CJ122</f>
        <v>1.0597292750084875</v>
      </c>
      <c r="Z122" s="212">
        <f t="shared" ref="Z122:Z139" si="80">IF(Y122&gt;100%,100%,Y122)</f>
        <v>1</v>
      </c>
      <c r="AA122" s="217">
        <f>+'Plan de Accion apoyo transversa'!BS122</f>
        <v>0.70647313831766612</v>
      </c>
      <c r="AB122" s="217">
        <f t="shared" si="61"/>
        <v>0.70647313831766612</v>
      </c>
      <c r="AC122" s="302">
        <f t="shared" ref="AC122:AC132" si="81">+AB122</f>
        <v>0.70647313831766612</v>
      </c>
      <c r="AD122" s="213">
        <v>1</v>
      </c>
      <c r="AE122" s="214">
        <f>+'Plan de Accion apoyo transversa'!CA122</f>
        <v>1.0597218252297129</v>
      </c>
      <c r="AF122" s="248">
        <f>+'Plan de Accion apoyo transversa'!CL122</f>
        <v>1.0597218252297129</v>
      </c>
      <c r="AG122" s="212">
        <f t="shared" ref="AG122:AG130" si="82">IF(AF122&gt;100%,100%,AF122)</f>
        <v>1</v>
      </c>
      <c r="AH122" s="248">
        <f>+'Plan de Accion apoyo transversa'!CC122</f>
        <v>0.97140359462509429</v>
      </c>
      <c r="AI122" s="211">
        <f t="shared" si="68"/>
        <v>0.97140359462509429</v>
      </c>
      <c r="AJ122" s="247"/>
      <c r="AK122" s="1168">
        <v>1</v>
      </c>
      <c r="AL122" s="246"/>
      <c r="AM122" s="245"/>
      <c r="AN122" s="233"/>
      <c r="AO122" s="246"/>
      <c r="AP122" s="245"/>
      <c r="AQ122" s="233"/>
      <c r="AR122" s="246"/>
      <c r="AS122" s="245"/>
      <c r="AT122" s="233"/>
      <c r="AU122" s="246"/>
      <c r="AV122" s="245"/>
      <c r="AW122" s="233"/>
      <c r="AX122" s="244"/>
      <c r="AY122" s="233"/>
      <c r="AZ122" s="246"/>
      <c r="BA122" s="245"/>
      <c r="BB122" s="233"/>
      <c r="BC122" s="246"/>
      <c r="BD122" s="245"/>
      <c r="BE122" s="233"/>
      <c r="BF122" s="246"/>
      <c r="BG122" s="245"/>
      <c r="BH122" s="233"/>
      <c r="BI122" s="246"/>
      <c r="BJ122" s="245"/>
      <c r="BK122" s="233"/>
      <c r="BL122" s="244"/>
      <c r="BN122" s="246"/>
      <c r="BO122" s="245"/>
      <c r="BP122" s="233"/>
      <c r="BQ122" s="246"/>
      <c r="BR122" s="245"/>
      <c r="BS122" s="233"/>
      <c r="BT122" s="246"/>
      <c r="BU122" s="245"/>
      <c r="BV122" s="233"/>
      <c r="BW122" s="246"/>
      <c r="BX122" s="245"/>
      <c r="BY122" s="233"/>
      <c r="BZ122" s="244"/>
      <c r="CB122" s="246"/>
      <c r="CC122" s="245"/>
      <c r="CD122" s="233"/>
      <c r="CE122" s="246"/>
      <c r="CF122" s="245"/>
      <c r="CG122" s="233"/>
      <c r="CH122" s="246"/>
      <c r="CI122" s="245"/>
      <c r="CJ122" s="233"/>
      <c r="CK122" s="246"/>
      <c r="CL122" s="245"/>
      <c r="CM122" s="233"/>
      <c r="CN122" s="244"/>
    </row>
    <row r="123" spans="2:92" s="174" customFormat="1" ht="57.75" customHeight="1" thickBot="1" x14ac:dyDescent="0.25">
      <c r="B123" s="1586"/>
      <c r="C123" s="1471"/>
      <c r="D123" s="1438"/>
      <c r="E123" s="1545"/>
      <c r="F123" s="647" t="s">
        <v>989</v>
      </c>
      <c r="G123" s="315" t="str">
        <f>+'Plan de Accion apoyo transversa'!X174</f>
        <v>Contratos suscritos</v>
      </c>
      <c r="H123" s="1547"/>
      <c r="I123" s="175"/>
      <c r="J123" s="214">
        <f>+'Plan de Accion apoyo transversa'!AW174</f>
        <v>1.3061820715783481</v>
      </c>
      <c r="K123" s="476">
        <f>+'Plan de Accion apoyo transversa'!CF174</f>
        <v>1.3061820715783481</v>
      </c>
      <c r="L123" s="476">
        <f>IF(K123&gt;100%,100%,K123)</f>
        <v>1</v>
      </c>
      <c r="M123" s="476">
        <f>+'Plan de Accion apoyo transversa'!AY174</f>
        <v>1.3061820715783481</v>
      </c>
      <c r="N123" s="476">
        <f t="shared" si="66"/>
        <v>1</v>
      </c>
      <c r="O123" s="476">
        <f t="shared" si="79"/>
        <v>1</v>
      </c>
      <c r="P123" s="213"/>
      <c r="Q123" s="214" t="e">
        <f>+'Plan de Accion apoyo transversa'!BG174</f>
        <v>#DIV/0!</v>
      </c>
      <c r="R123" s="248" t="s">
        <v>180</v>
      </c>
      <c r="S123" s="212" t="s">
        <v>204</v>
      </c>
      <c r="T123" s="304">
        <f>+'Plan de Accion apoyo transversa'!BI174</f>
        <v>1.3061820715783481</v>
      </c>
      <c r="U123" s="304">
        <f t="shared" si="62"/>
        <v>1</v>
      </c>
      <c r="V123" s="211">
        <f t="shared" si="69"/>
        <v>1</v>
      </c>
      <c r="W123" s="213"/>
      <c r="X123" s="214" t="e">
        <f>+'Plan de Accion apoyo transversa'!BQ174</f>
        <v>#DIV/0!</v>
      </c>
      <c r="Y123" s="248" t="s">
        <v>180</v>
      </c>
      <c r="Z123" s="212" t="s">
        <v>204</v>
      </c>
      <c r="AA123" s="217">
        <f>+'Plan de Accion apoyo transversa'!BS174</f>
        <v>1.3061820715783481</v>
      </c>
      <c r="AB123" s="217">
        <f t="shared" si="61"/>
        <v>1</v>
      </c>
      <c r="AC123" s="302">
        <f t="shared" si="81"/>
        <v>1</v>
      </c>
      <c r="AD123" s="213"/>
      <c r="AE123" s="214" t="e">
        <f>+'Plan de Accion apoyo transversa'!CA174</f>
        <v>#DIV/0!</v>
      </c>
      <c r="AF123" s="248" t="s">
        <v>180</v>
      </c>
      <c r="AG123" s="212" t="s">
        <v>204</v>
      </c>
      <c r="AH123" s="248">
        <f>+'Plan de Accion apoyo transversa'!CC174</f>
        <v>1.3061820715783481</v>
      </c>
      <c r="AI123" s="211">
        <f t="shared" si="68"/>
        <v>1</v>
      </c>
      <c r="AJ123" s="247"/>
      <c r="AK123" s="1168">
        <v>1</v>
      </c>
      <c r="AL123" s="246"/>
      <c r="AM123" s="245"/>
      <c r="AN123" s="233"/>
      <c r="AO123" s="246"/>
      <c r="AP123" s="245"/>
      <c r="AQ123" s="233"/>
      <c r="AR123" s="246"/>
      <c r="AS123" s="245"/>
      <c r="AT123" s="233"/>
      <c r="AU123" s="246"/>
      <c r="AV123" s="245"/>
      <c r="AW123" s="233"/>
      <c r="AX123" s="244"/>
      <c r="AY123" s="233"/>
      <c r="AZ123" s="246"/>
      <c r="BA123" s="245"/>
      <c r="BB123" s="233"/>
      <c r="BC123" s="246"/>
      <c r="BD123" s="245"/>
      <c r="BE123" s="233"/>
      <c r="BF123" s="246"/>
      <c r="BG123" s="245"/>
      <c r="BH123" s="233"/>
      <c r="BI123" s="246"/>
      <c r="BJ123" s="245"/>
      <c r="BK123" s="233"/>
      <c r="BL123" s="244"/>
      <c r="BN123" s="246"/>
      <c r="BO123" s="245"/>
      <c r="BP123" s="233"/>
      <c r="BQ123" s="246"/>
      <c r="BR123" s="245"/>
      <c r="BS123" s="233"/>
      <c r="BT123" s="246"/>
      <c r="BU123" s="245"/>
      <c r="BV123" s="233"/>
      <c r="BW123" s="246"/>
      <c r="BX123" s="245"/>
      <c r="BY123" s="233"/>
      <c r="BZ123" s="244"/>
      <c r="CB123" s="246"/>
      <c r="CC123" s="245"/>
      <c r="CD123" s="233"/>
      <c r="CE123" s="246"/>
      <c r="CF123" s="245"/>
      <c r="CG123" s="233"/>
      <c r="CH123" s="246"/>
      <c r="CI123" s="245"/>
      <c r="CJ123" s="233"/>
      <c r="CK123" s="246"/>
      <c r="CL123" s="245"/>
      <c r="CM123" s="233"/>
      <c r="CN123" s="244"/>
    </row>
    <row r="124" spans="2:92" s="174" customFormat="1" ht="57.75" customHeight="1" thickBot="1" x14ac:dyDescent="0.25">
      <c r="B124" s="1586"/>
      <c r="C124" s="1471"/>
      <c r="D124" s="1436" t="s">
        <v>204</v>
      </c>
      <c r="E124" s="1436" t="s">
        <v>231</v>
      </c>
      <c r="F124" s="920" t="s">
        <v>336</v>
      </c>
      <c r="G124" s="921" t="str">
        <f>+'Plan de Accion apoyo transversa'!X19</f>
        <v>SARLAFT implementado</v>
      </c>
      <c r="H124" s="1547"/>
      <c r="I124" s="175"/>
      <c r="J124" s="214" t="e">
        <f>+'Plan de Accion apoyo transversa'!AW19</f>
        <v>#DIV/0!</v>
      </c>
      <c r="K124" s="925" t="str">
        <f>+'Plan de Accion apoyo transversa'!CF19</f>
        <v>No Prog ni Ejec</v>
      </c>
      <c r="L124" s="925" t="s">
        <v>204</v>
      </c>
      <c r="M124" s="925">
        <f>+'Plan de Accion apoyo transversa'!AY19</f>
        <v>0</v>
      </c>
      <c r="N124" s="925">
        <f t="shared" ref="N124" si="83">IF(M124&gt;100%,100%,M124)</f>
        <v>0</v>
      </c>
      <c r="O124" s="925" t="s">
        <v>204</v>
      </c>
      <c r="P124" s="213"/>
      <c r="Q124" s="214" t="e">
        <f>+'Plan de Accion apoyo transversa'!BG19</f>
        <v>#DIV/0!</v>
      </c>
      <c r="R124" s="248" t="s">
        <v>180</v>
      </c>
      <c r="S124" s="212" t="s">
        <v>204</v>
      </c>
      <c r="T124" s="925">
        <f>+'Plan de Accion apoyo transversa'!BI19</f>
        <v>0</v>
      </c>
      <c r="U124" s="925">
        <f t="shared" ref="U124" si="84">IF(T124&gt;100%,100%,T124)</f>
        <v>0</v>
      </c>
      <c r="V124" s="211" t="s">
        <v>204</v>
      </c>
      <c r="W124" s="213"/>
      <c r="X124" s="214">
        <f>+'Plan de Accion apoyo transversa'!BQ19</f>
        <v>1</v>
      </c>
      <c r="Y124" s="248">
        <f>+'Plan de Accion apoyo transversa'!CJ19</f>
        <v>1</v>
      </c>
      <c r="Z124" s="212">
        <f t="shared" si="80"/>
        <v>1</v>
      </c>
      <c r="AA124" s="217">
        <f>+'Plan de Accion apoyo transversa'!BS19</f>
        <v>0.5</v>
      </c>
      <c r="AB124" s="217">
        <f t="shared" ref="AB124" si="85">IF(AA124&gt;100%,100%,AA124)</f>
        <v>0.5</v>
      </c>
      <c r="AC124" s="926">
        <f t="shared" ref="AC124" si="86">+AB124</f>
        <v>0.5</v>
      </c>
      <c r="AD124" s="213"/>
      <c r="AE124" s="214">
        <f>+'Plan de Accion apoyo transversa'!CA19</f>
        <v>0.8444444166666667</v>
      </c>
      <c r="AF124" s="248">
        <f>+'Plan de Accion apoyo transversa'!CL19</f>
        <v>0.8444444166666667</v>
      </c>
      <c r="AG124" s="212">
        <f t="shared" ref="AG124:AG126" si="87">IF(AF124&gt;100%,100%,AF124)</f>
        <v>0.8444444166666667</v>
      </c>
      <c r="AH124" s="248">
        <f>+'Plan de Accion apoyo transversa'!CC19</f>
        <v>0.92222220833333335</v>
      </c>
      <c r="AI124" s="211">
        <f t="shared" ref="AI124" si="88">IF(AH124&gt;100%,100%,AH124)</f>
        <v>0.92222220833333335</v>
      </c>
      <c r="AJ124" s="247"/>
      <c r="AK124" s="1168"/>
      <c r="AL124" s="246"/>
      <c r="AM124" s="245"/>
      <c r="AN124" s="233"/>
      <c r="AO124" s="246"/>
      <c r="AP124" s="245"/>
      <c r="AQ124" s="233"/>
      <c r="AR124" s="246"/>
      <c r="AS124" s="245"/>
      <c r="AT124" s="233"/>
      <c r="AU124" s="246"/>
      <c r="AV124" s="245"/>
      <c r="AW124" s="233"/>
      <c r="AX124" s="244"/>
      <c r="AY124" s="233"/>
      <c r="AZ124" s="246"/>
      <c r="BA124" s="245"/>
      <c r="BB124" s="233"/>
      <c r="BC124" s="246"/>
      <c r="BD124" s="245"/>
      <c r="BE124" s="233"/>
      <c r="BF124" s="246"/>
      <c r="BG124" s="245"/>
      <c r="BH124" s="233"/>
      <c r="BI124" s="246"/>
      <c r="BJ124" s="245"/>
      <c r="BK124" s="233"/>
      <c r="BL124" s="244"/>
      <c r="BN124" s="246"/>
      <c r="BO124" s="245"/>
      <c r="BP124" s="233"/>
      <c r="BQ124" s="246"/>
      <c r="BR124" s="245"/>
      <c r="BS124" s="233"/>
      <c r="BT124" s="246"/>
      <c r="BU124" s="245"/>
      <c r="BV124" s="233"/>
      <c r="BW124" s="246"/>
      <c r="BX124" s="245"/>
      <c r="BY124" s="233"/>
      <c r="BZ124" s="244"/>
      <c r="CB124" s="246"/>
      <c r="CC124" s="245"/>
      <c r="CD124" s="233"/>
      <c r="CE124" s="246"/>
      <c r="CF124" s="245"/>
      <c r="CG124" s="233"/>
      <c r="CH124" s="246"/>
      <c r="CI124" s="245"/>
      <c r="CJ124" s="233"/>
      <c r="CK124" s="246"/>
      <c r="CL124" s="245"/>
      <c r="CM124" s="233"/>
      <c r="CN124" s="244"/>
    </row>
    <row r="125" spans="2:92" s="174" customFormat="1" ht="57.75" customHeight="1" thickBot="1" x14ac:dyDescent="0.25">
      <c r="B125" s="1586"/>
      <c r="C125" s="1471"/>
      <c r="D125" s="1437"/>
      <c r="E125" s="1437"/>
      <c r="F125" s="1436" t="s">
        <v>330</v>
      </c>
      <c r="G125" s="927" t="str">
        <f>+'Plan de Accion apoyo transversa'!X20</f>
        <v>Plan de Continuidad del negocio implementado</v>
      </c>
      <c r="H125" s="1547"/>
      <c r="I125" s="175"/>
      <c r="J125" s="214" t="e">
        <f>+'Plan de Accion apoyo transversa'!AW20</f>
        <v>#DIV/0!</v>
      </c>
      <c r="K125" s="925" t="str">
        <f>+'Plan de Accion apoyo transversa'!CF20</f>
        <v>No Prog ni Ejec</v>
      </c>
      <c r="L125" s="925" t="s">
        <v>204</v>
      </c>
      <c r="M125" s="925">
        <f>+'Plan de Accion apoyo transversa'!AY20</f>
        <v>0</v>
      </c>
      <c r="N125" s="925">
        <f t="shared" ref="N125:N126" si="89">IF(M125&gt;100%,100%,M125)</f>
        <v>0</v>
      </c>
      <c r="O125" s="925" t="s">
        <v>204</v>
      </c>
      <c r="P125" s="213"/>
      <c r="Q125" s="214" t="e">
        <f>+'Plan de Accion apoyo transversa'!BG20</f>
        <v>#DIV/0!</v>
      </c>
      <c r="R125" s="248" t="s">
        <v>180</v>
      </c>
      <c r="S125" s="212" t="s">
        <v>204</v>
      </c>
      <c r="T125" s="925">
        <f>+'Plan de Accion apoyo transversa'!BI20</f>
        <v>0</v>
      </c>
      <c r="U125" s="925">
        <f t="shared" ref="U125:U126" si="90">IF(T125&gt;100%,100%,T125)</f>
        <v>0</v>
      </c>
      <c r="V125" s="211" t="s">
        <v>204</v>
      </c>
      <c r="W125" s="213"/>
      <c r="X125" s="214">
        <f>+'Plan de Accion apoyo transversa'!BQ20</f>
        <v>1</v>
      </c>
      <c r="Y125" s="248">
        <f>+'Plan de Accion apoyo transversa'!CJ20</f>
        <v>1</v>
      </c>
      <c r="Z125" s="212">
        <f t="shared" si="80"/>
        <v>1</v>
      </c>
      <c r="AA125" s="217">
        <f>+'Plan de Accion apoyo transversa'!BS20</f>
        <v>0.5</v>
      </c>
      <c r="AB125" s="217">
        <f t="shared" ref="AB125:AB126" si="91">IF(AA125&gt;100%,100%,AA125)</f>
        <v>0.5</v>
      </c>
      <c r="AC125" s="926">
        <f t="shared" ref="AC125:AC126" si="92">+AB125</f>
        <v>0.5</v>
      </c>
      <c r="AD125" s="213"/>
      <c r="AE125" s="214">
        <f>+'Plan de Accion apoyo transversa'!CA20</f>
        <v>0.8444444166666667</v>
      </c>
      <c r="AF125" s="248">
        <f>+'Plan de Accion apoyo transversa'!CL20</f>
        <v>0.8444444166666667</v>
      </c>
      <c r="AG125" s="212">
        <f t="shared" si="87"/>
        <v>0.8444444166666667</v>
      </c>
      <c r="AH125" s="248">
        <f>+'Plan de Accion apoyo transversa'!CC20</f>
        <v>0.92222220833333335</v>
      </c>
      <c r="AI125" s="211">
        <f t="shared" ref="AI125:AI126" si="93">IF(AH125&gt;100%,100%,AH125)</f>
        <v>0.92222220833333335</v>
      </c>
      <c r="AJ125" s="247"/>
      <c r="AK125" s="1168"/>
      <c r="AL125" s="246"/>
      <c r="AM125" s="245"/>
      <c r="AN125" s="233"/>
      <c r="AO125" s="246"/>
      <c r="AP125" s="245"/>
      <c r="AQ125" s="233"/>
      <c r="AR125" s="246"/>
      <c r="AS125" s="245"/>
      <c r="AT125" s="233"/>
      <c r="AU125" s="246"/>
      <c r="AV125" s="245"/>
      <c r="AW125" s="233"/>
      <c r="AX125" s="244"/>
      <c r="AY125" s="233"/>
      <c r="AZ125" s="246"/>
      <c r="BA125" s="245"/>
      <c r="BB125" s="233"/>
      <c r="BC125" s="246"/>
      <c r="BD125" s="245"/>
      <c r="BE125" s="233"/>
      <c r="BF125" s="246"/>
      <c r="BG125" s="245"/>
      <c r="BH125" s="233"/>
      <c r="BI125" s="246"/>
      <c r="BJ125" s="245"/>
      <c r="BK125" s="233"/>
      <c r="BL125" s="244"/>
      <c r="BN125" s="246"/>
      <c r="BO125" s="245"/>
      <c r="BP125" s="233"/>
      <c r="BQ125" s="246"/>
      <c r="BR125" s="245"/>
      <c r="BS125" s="233"/>
      <c r="BT125" s="246"/>
      <c r="BU125" s="245"/>
      <c r="BV125" s="233"/>
      <c r="BW125" s="246"/>
      <c r="BX125" s="245"/>
      <c r="BY125" s="233"/>
      <c r="BZ125" s="244"/>
      <c r="CB125" s="246"/>
      <c r="CC125" s="245"/>
      <c r="CD125" s="233"/>
      <c r="CE125" s="246"/>
      <c r="CF125" s="245"/>
      <c r="CG125" s="233"/>
      <c r="CH125" s="246"/>
      <c r="CI125" s="245"/>
      <c r="CJ125" s="233"/>
      <c r="CK125" s="246"/>
      <c r="CL125" s="245"/>
      <c r="CM125" s="233"/>
      <c r="CN125" s="244"/>
    </row>
    <row r="126" spans="2:92" s="174" customFormat="1" ht="57.75" customHeight="1" thickBot="1" x14ac:dyDescent="0.25">
      <c r="B126" s="1586"/>
      <c r="C126" s="1471"/>
      <c r="D126" s="1438"/>
      <c r="E126" s="1438"/>
      <c r="F126" s="1438"/>
      <c r="G126" s="927" t="str">
        <f>+'Plan de Accion apoyo transversa'!X21</f>
        <v>Plan estratégico cuatrienal aprobado</v>
      </c>
      <c r="H126" s="1547"/>
      <c r="I126" s="175"/>
      <c r="J126" s="214" t="e">
        <f>+'Plan de Accion apoyo transversa'!AW21</f>
        <v>#DIV/0!</v>
      </c>
      <c r="K126" s="925" t="str">
        <f>+'Plan de Accion apoyo transversa'!CF21</f>
        <v>No Prog ni Ejec</v>
      </c>
      <c r="L126" s="925" t="s">
        <v>204</v>
      </c>
      <c r="M126" s="925">
        <f>+'Plan de Accion apoyo transversa'!AY21</f>
        <v>0</v>
      </c>
      <c r="N126" s="925">
        <f t="shared" si="89"/>
        <v>0</v>
      </c>
      <c r="O126" s="925" t="s">
        <v>204</v>
      </c>
      <c r="P126" s="213"/>
      <c r="Q126" s="214" t="e">
        <f>+'Plan de Accion apoyo transversa'!BG21</f>
        <v>#DIV/0!</v>
      </c>
      <c r="R126" s="248" t="s">
        <v>180</v>
      </c>
      <c r="S126" s="212" t="s">
        <v>204</v>
      </c>
      <c r="T126" s="925">
        <f>+'Plan de Accion apoyo transversa'!BI21</f>
        <v>0</v>
      </c>
      <c r="U126" s="925">
        <f t="shared" si="90"/>
        <v>0</v>
      </c>
      <c r="V126" s="211" t="s">
        <v>204</v>
      </c>
      <c r="W126" s="213"/>
      <c r="X126" s="214">
        <f>+'Plan de Accion apoyo transversa'!BQ21</f>
        <v>0.62222223333333337</v>
      </c>
      <c r="Y126" s="248">
        <f>+'Plan de Accion apoyo transversa'!CJ21</f>
        <v>0.62222223333333337</v>
      </c>
      <c r="Z126" s="212">
        <f t="shared" si="80"/>
        <v>0.62222223333333337</v>
      </c>
      <c r="AA126" s="217">
        <f>+'Plan de Accion apoyo transversa'!BS21</f>
        <v>0.37333334000000001</v>
      </c>
      <c r="AB126" s="217">
        <f t="shared" si="91"/>
        <v>0.37333334000000001</v>
      </c>
      <c r="AC126" s="926">
        <f t="shared" si="92"/>
        <v>0.37333334000000001</v>
      </c>
      <c r="AD126" s="213"/>
      <c r="AE126" s="214">
        <f>+'Plan de Accion apoyo transversa'!CA21</f>
        <v>1.5</v>
      </c>
      <c r="AF126" s="248">
        <f>+'Plan de Accion apoyo transversa'!CL21</f>
        <v>1.5</v>
      </c>
      <c r="AG126" s="212">
        <f t="shared" si="87"/>
        <v>1</v>
      </c>
      <c r="AH126" s="248">
        <f>+'Plan de Accion apoyo transversa'!CC21</f>
        <v>0.97333334000000005</v>
      </c>
      <c r="AI126" s="211">
        <f t="shared" si="93"/>
        <v>0.97333334000000005</v>
      </c>
      <c r="AJ126" s="247"/>
      <c r="AK126" s="1168">
        <v>1</v>
      </c>
      <c r="AL126" s="246"/>
      <c r="AM126" s="245"/>
      <c r="AN126" s="233"/>
      <c r="AO126" s="246"/>
      <c r="AP126" s="245"/>
      <c r="AQ126" s="233"/>
      <c r="AR126" s="246"/>
      <c r="AS126" s="245"/>
      <c r="AT126" s="233"/>
      <c r="AU126" s="246"/>
      <c r="AV126" s="245"/>
      <c r="AW126" s="233"/>
      <c r="AX126" s="244"/>
      <c r="AY126" s="233"/>
      <c r="AZ126" s="246"/>
      <c r="BA126" s="245"/>
      <c r="BB126" s="233"/>
      <c r="BC126" s="246"/>
      <c r="BD126" s="245"/>
      <c r="BE126" s="233"/>
      <c r="BF126" s="246"/>
      <c r="BG126" s="245"/>
      <c r="BH126" s="233"/>
      <c r="BI126" s="246"/>
      <c r="BJ126" s="245"/>
      <c r="BK126" s="233"/>
      <c r="BL126" s="244"/>
      <c r="BN126" s="246"/>
      <c r="BO126" s="245"/>
      <c r="BP126" s="233"/>
      <c r="BQ126" s="246"/>
      <c r="BR126" s="245"/>
      <c r="BS126" s="233"/>
      <c r="BT126" s="246"/>
      <c r="BU126" s="245"/>
      <c r="BV126" s="233"/>
      <c r="BW126" s="246"/>
      <c r="BX126" s="245"/>
      <c r="BY126" s="233"/>
      <c r="BZ126" s="244"/>
      <c r="CB126" s="246"/>
      <c r="CC126" s="245"/>
      <c r="CD126" s="233"/>
      <c r="CE126" s="246"/>
      <c r="CF126" s="245"/>
      <c r="CG126" s="233"/>
      <c r="CH126" s="246"/>
      <c r="CI126" s="245"/>
      <c r="CJ126" s="233"/>
      <c r="CK126" s="246"/>
      <c r="CL126" s="245"/>
      <c r="CM126" s="233"/>
      <c r="CN126" s="244"/>
    </row>
    <row r="127" spans="2:92" s="174" customFormat="1" ht="43.5" customHeight="1" thickBot="1" x14ac:dyDescent="0.25">
      <c r="B127" s="1586"/>
      <c r="C127" s="1471"/>
      <c r="D127" s="1436" t="s">
        <v>204</v>
      </c>
      <c r="E127" s="1436" t="s">
        <v>230</v>
      </c>
      <c r="F127" s="1436" t="s">
        <v>330</v>
      </c>
      <c r="G127" s="315" t="str">
        <f>+'Plan de Accion apoyo transversa'!X134</f>
        <v xml:space="preserve">Servicios de Mesa de Ayuda </v>
      </c>
      <c r="H127" s="1547"/>
      <c r="I127" s="175"/>
      <c r="J127" s="214">
        <f>+'Plan de Accion apoyo transversa'!AW134</f>
        <v>0.40023828566937225</v>
      </c>
      <c r="K127" s="476">
        <f>+'Plan de Accion apoyo transversa'!CF134</f>
        <v>0.40023828566937225</v>
      </c>
      <c r="L127" s="476">
        <f>IF(K127&gt;100%,100%,K127)</f>
        <v>0.40023828566937225</v>
      </c>
      <c r="M127" s="476">
        <f>+'Plan de Accion apoyo transversa'!AY134</f>
        <v>0.18611111111111112</v>
      </c>
      <c r="N127" s="476">
        <f t="shared" si="66"/>
        <v>0.18611111111111112</v>
      </c>
      <c r="O127" s="476">
        <f t="shared" si="79"/>
        <v>0.18611111111111112</v>
      </c>
      <c r="P127" s="213"/>
      <c r="Q127" s="214">
        <f>+'Plan de Accion apoyo transversa'!BG134</f>
        <v>0</v>
      </c>
      <c r="R127" s="248" t="s">
        <v>180</v>
      </c>
      <c r="S127" s="212" t="s">
        <v>204</v>
      </c>
      <c r="T127" s="304">
        <f>+'Plan de Accion apoyo transversa'!BI134</f>
        <v>0.18611111111111112</v>
      </c>
      <c r="U127" s="304">
        <f t="shared" ref="U127:U132" si="94">IF(T127&gt;100%,100%,T127)</f>
        <v>0.18611111111111112</v>
      </c>
      <c r="V127" s="211">
        <f>+U127</f>
        <v>0.18611111111111112</v>
      </c>
      <c r="W127" s="213"/>
      <c r="X127" s="214">
        <f>+'Plan de Accion apoyo transversa'!BQ134</f>
        <v>0</v>
      </c>
      <c r="Y127" s="248" t="s">
        <v>180</v>
      </c>
      <c r="Z127" s="212" t="s">
        <v>204</v>
      </c>
      <c r="AA127" s="217">
        <f>+'Plan de Accion apoyo transversa'!BS134</f>
        <v>0.18611111111111112</v>
      </c>
      <c r="AB127" s="217">
        <f t="shared" ref="AB127:AB132" si="95">IF(AA127&gt;100%,100%,AA127)</f>
        <v>0.18611111111111112</v>
      </c>
      <c r="AC127" s="302">
        <f t="shared" si="81"/>
        <v>0.18611111111111112</v>
      </c>
      <c r="AD127" s="213"/>
      <c r="AE127" s="214">
        <f>+'Plan de Accion apoyo transversa'!CA134</f>
        <v>0</v>
      </c>
      <c r="AF127" s="248" t="s">
        <v>180</v>
      </c>
      <c r="AG127" s="212" t="s">
        <v>204</v>
      </c>
      <c r="AH127" s="248">
        <f>+'Plan de Accion apoyo transversa'!CC134</f>
        <v>0.18611111111111112</v>
      </c>
      <c r="AI127" s="211">
        <f t="shared" ref="AI127:AI132" si="96">IF(AH127&gt;100%,100%,AH127)</f>
        <v>0.18611111111111112</v>
      </c>
      <c r="AJ127" s="247"/>
      <c r="AK127" s="1168"/>
      <c r="AL127" s="246"/>
      <c r="AM127" s="245"/>
      <c r="AN127" s="233"/>
      <c r="AO127" s="246"/>
      <c r="AP127" s="245"/>
      <c r="AQ127" s="233"/>
      <c r="AR127" s="246"/>
      <c r="AS127" s="245"/>
      <c r="AT127" s="233"/>
      <c r="AU127" s="246"/>
      <c r="AV127" s="245"/>
      <c r="AW127" s="233"/>
      <c r="AX127" s="244"/>
      <c r="AY127" s="233"/>
      <c r="AZ127" s="246"/>
      <c r="BA127" s="245"/>
      <c r="BB127" s="233"/>
      <c r="BC127" s="246"/>
      <c r="BD127" s="245"/>
      <c r="BE127" s="233"/>
      <c r="BF127" s="246"/>
      <c r="BG127" s="245"/>
      <c r="BH127" s="233"/>
      <c r="BI127" s="246"/>
      <c r="BJ127" s="245"/>
      <c r="BK127" s="233"/>
      <c r="BL127" s="244"/>
      <c r="BN127" s="246"/>
      <c r="BO127" s="245"/>
      <c r="BP127" s="233"/>
      <c r="BQ127" s="246"/>
      <c r="BR127" s="245"/>
      <c r="BS127" s="233"/>
      <c r="BT127" s="246"/>
      <c r="BU127" s="245"/>
      <c r="BV127" s="233"/>
      <c r="BW127" s="246"/>
      <c r="BX127" s="245"/>
      <c r="BY127" s="233"/>
      <c r="BZ127" s="244"/>
      <c r="CB127" s="246"/>
      <c r="CC127" s="245"/>
      <c r="CD127" s="233"/>
      <c r="CE127" s="246"/>
      <c r="CF127" s="245"/>
      <c r="CG127" s="233"/>
      <c r="CH127" s="246"/>
      <c r="CI127" s="245"/>
      <c r="CJ127" s="233"/>
      <c r="CK127" s="246"/>
      <c r="CL127" s="245"/>
      <c r="CM127" s="233"/>
      <c r="CN127" s="244"/>
    </row>
    <row r="128" spans="2:92" s="174" customFormat="1" ht="100.5" thickBot="1" x14ac:dyDescent="0.25">
      <c r="B128" s="1586"/>
      <c r="C128" s="1471"/>
      <c r="D128" s="1437"/>
      <c r="E128" s="1437"/>
      <c r="F128" s="1437"/>
      <c r="G128" s="315" t="str">
        <f>+'Plan de Accion apoyo transversa'!X138</f>
        <v>Flujos de correspondencia, que incluya impresión de stickers, firma digital de documentos, estampado cronológico, reconocimiento OCR e integración con los flujos de PQRSD y Tutelas</v>
      </c>
      <c r="H128" s="1547"/>
      <c r="I128" s="175"/>
      <c r="J128" s="214" t="e">
        <f>+'Plan de Accion apoyo transversa'!AW138</f>
        <v>#DIV/0!</v>
      </c>
      <c r="K128" s="476" t="str">
        <f>+'Plan de Accion apoyo transversa'!CF138</f>
        <v>No Prog ni Ejec</v>
      </c>
      <c r="L128" s="476" t="s">
        <v>204</v>
      </c>
      <c r="M128" s="476" t="s">
        <v>204</v>
      </c>
      <c r="N128" s="476" t="s">
        <v>204</v>
      </c>
      <c r="O128" s="476" t="s">
        <v>204</v>
      </c>
      <c r="P128" s="213"/>
      <c r="Q128" s="214" t="e">
        <f>+'Plan de Accion apoyo transversa'!BG138</f>
        <v>#DIV/0!</v>
      </c>
      <c r="R128" s="248" t="str">
        <f>+'Plan de Accion apoyo transversa'!CH138</f>
        <v>No Prog ni Ejec</v>
      </c>
      <c r="S128" s="212" t="s">
        <v>204</v>
      </c>
      <c r="T128" s="304" t="s">
        <v>204</v>
      </c>
      <c r="U128" s="304" t="s">
        <v>204</v>
      </c>
      <c r="V128" s="211" t="s">
        <v>204</v>
      </c>
      <c r="W128" s="213"/>
      <c r="X128" s="214" t="e">
        <f>+'Plan de Accion apoyo transversa'!BQ138</f>
        <v>#DIV/0!</v>
      </c>
      <c r="Y128" s="248" t="str">
        <f>+'Plan de Accion apoyo transversa'!CJ138</f>
        <v>No Prog ni Ejec</v>
      </c>
      <c r="Z128" s="212" t="s">
        <v>204</v>
      </c>
      <c r="AA128" s="217" t="s">
        <v>204</v>
      </c>
      <c r="AB128" s="217" t="s">
        <v>204</v>
      </c>
      <c r="AC128" s="1155" t="s">
        <v>204</v>
      </c>
      <c r="AD128" s="213"/>
      <c r="AE128" s="214" t="e">
        <f>+'Plan de Accion apoyo transversa'!CA138</f>
        <v>#DIV/0!</v>
      </c>
      <c r="AF128" s="248" t="s">
        <v>180</v>
      </c>
      <c r="AG128" s="212" t="s">
        <v>204</v>
      </c>
      <c r="AH128" s="248" t="s">
        <v>204</v>
      </c>
      <c r="AI128" s="211" t="s">
        <v>204</v>
      </c>
      <c r="AJ128" s="247"/>
      <c r="AK128" s="1168"/>
      <c r="AL128" s="246"/>
      <c r="AM128" s="245"/>
      <c r="AN128" s="233"/>
      <c r="AO128" s="246"/>
      <c r="AP128" s="245"/>
      <c r="AQ128" s="233"/>
      <c r="AR128" s="246"/>
      <c r="AS128" s="245"/>
      <c r="AT128" s="233"/>
      <c r="AU128" s="246"/>
      <c r="AV128" s="245"/>
      <c r="AW128" s="233"/>
      <c r="AX128" s="244"/>
      <c r="AY128" s="233"/>
      <c r="AZ128" s="246"/>
      <c r="BA128" s="245"/>
      <c r="BB128" s="233"/>
      <c r="BC128" s="246"/>
      <c r="BD128" s="245"/>
      <c r="BE128" s="233"/>
      <c r="BF128" s="246"/>
      <c r="BG128" s="245"/>
      <c r="BH128" s="233"/>
      <c r="BI128" s="246"/>
      <c r="BJ128" s="245"/>
      <c r="BK128" s="233"/>
      <c r="BL128" s="244"/>
      <c r="BN128" s="246"/>
      <c r="BO128" s="245"/>
      <c r="BP128" s="233"/>
      <c r="BQ128" s="246"/>
      <c r="BR128" s="245"/>
      <c r="BS128" s="233"/>
      <c r="BT128" s="246"/>
      <c r="BU128" s="245"/>
      <c r="BV128" s="233"/>
      <c r="BW128" s="246"/>
      <c r="BX128" s="245"/>
      <c r="BY128" s="233"/>
      <c r="BZ128" s="244"/>
      <c r="CB128" s="246"/>
      <c r="CC128" s="245"/>
      <c r="CD128" s="233"/>
      <c r="CE128" s="246"/>
      <c r="CF128" s="245"/>
      <c r="CG128" s="233"/>
      <c r="CH128" s="246"/>
      <c r="CI128" s="245"/>
      <c r="CJ128" s="233"/>
      <c r="CK128" s="246"/>
      <c r="CL128" s="245"/>
      <c r="CM128" s="233"/>
      <c r="CN128" s="244"/>
    </row>
    <row r="129" spans="2:92" s="174" customFormat="1" ht="43.5" thickBot="1" x14ac:dyDescent="0.25">
      <c r="B129" s="1586"/>
      <c r="C129" s="1471"/>
      <c r="D129" s="1437"/>
      <c r="E129" s="1437"/>
      <c r="F129" s="1438"/>
      <c r="G129" s="315" t="str">
        <f>+'Plan de Accion apoyo transversa'!X140</f>
        <v>Servicio de documentación de los servicios TI y Sistemas de Información</v>
      </c>
      <c r="H129" s="1547"/>
      <c r="I129" s="175"/>
      <c r="J129" s="214" t="e">
        <f>+'Plan de Accion apoyo transversa'!AW140</f>
        <v>#DIV/0!</v>
      </c>
      <c r="K129" s="476" t="str">
        <f>+'Plan de Accion apoyo transversa'!CF140</f>
        <v>No Prog ni Ejec</v>
      </c>
      <c r="L129" s="476" t="s">
        <v>204</v>
      </c>
      <c r="M129" s="476" t="s">
        <v>204</v>
      </c>
      <c r="N129" s="476" t="s">
        <v>204</v>
      </c>
      <c r="O129" s="476" t="s">
        <v>204</v>
      </c>
      <c r="P129" s="213"/>
      <c r="Q129" s="214" t="e">
        <f>+'Plan de Accion apoyo transversa'!BG140</f>
        <v>#DIV/0!</v>
      </c>
      <c r="R129" s="248" t="str">
        <f>+'Plan de Accion apoyo transversa'!CH140</f>
        <v>No Prog ni Ejec</v>
      </c>
      <c r="S129" s="212" t="s">
        <v>204</v>
      </c>
      <c r="T129" s="304" t="s">
        <v>204</v>
      </c>
      <c r="U129" s="304" t="s">
        <v>204</v>
      </c>
      <c r="V129" s="211" t="s">
        <v>204</v>
      </c>
      <c r="W129" s="213"/>
      <c r="X129" s="214" t="e">
        <f>+'Plan de Accion apoyo transversa'!BQ140</f>
        <v>#DIV/0!</v>
      </c>
      <c r="Y129" s="248" t="str">
        <f>+'Plan de Accion apoyo transversa'!CJ140</f>
        <v>No Prog ni Ejec</v>
      </c>
      <c r="Z129" s="212" t="s">
        <v>204</v>
      </c>
      <c r="AA129" s="217" t="s">
        <v>204</v>
      </c>
      <c r="AB129" s="217" t="s">
        <v>204</v>
      </c>
      <c r="AC129" s="302" t="s">
        <v>204</v>
      </c>
      <c r="AD129" s="213"/>
      <c r="AE129" s="214" t="e">
        <f>+'Plan de Accion apoyo transversa'!CA140</f>
        <v>#DIV/0!</v>
      </c>
      <c r="AF129" s="248" t="str">
        <f>+'Plan de Accion apoyo transversa'!CL140</f>
        <v>No Prog ni Ejec</v>
      </c>
      <c r="AG129" s="212" t="s">
        <v>204</v>
      </c>
      <c r="AH129" s="248" t="s">
        <v>204</v>
      </c>
      <c r="AI129" s="211" t="s">
        <v>204</v>
      </c>
      <c r="AJ129" s="247"/>
      <c r="AK129" s="1168"/>
      <c r="AL129" s="246"/>
      <c r="AM129" s="245"/>
      <c r="AN129" s="233"/>
      <c r="AO129" s="246"/>
      <c r="AP129" s="245"/>
      <c r="AQ129" s="233"/>
      <c r="AR129" s="246"/>
      <c r="AS129" s="245"/>
      <c r="AT129" s="233"/>
      <c r="AU129" s="246"/>
      <c r="AV129" s="245"/>
      <c r="AW129" s="233"/>
      <c r="AX129" s="244"/>
      <c r="AY129" s="233"/>
      <c r="AZ129" s="246"/>
      <c r="BA129" s="245"/>
      <c r="BB129" s="233"/>
      <c r="BC129" s="246"/>
      <c r="BD129" s="245"/>
      <c r="BE129" s="233"/>
      <c r="BF129" s="246"/>
      <c r="BG129" s="245"/>
      <c r="BH129" s="233"/>
      <c r="BI129" s="246"/>
      <c r="BJ129" s="245"/>
      <c r="BK129" s="233"/>
      <c r="BL129" s="244"/>
      <c r="BN129" s="246"/>
      <c r="BO129" s="245"/>
      <c r="BP129" s="233"/>
      <c r="BQ129" s="246"/>
      <c r="BR129" s="245"/>
      <c r="BS129" s="233"/>
      <c r="BT129" s="246"/>
      <c r="BU129" s="245"/>
      <c r="BV129" s="233"/>
      <c r="BW129" s="246"/>
      <c r="BX129" s="245"/>
      <c r="BY129" s="233"/>
      <c r="BZ129" s="244"/>
      <c r="CB129" s="246"/>
      <c r="CC129" s="245"/>
      <c r="CD129" s="233"/>
      <c r="CE129" s="246"/>
      <c r="CF129" s="245"/>
      <c r="CG129" s="233"/>
      <c r="CH129" s="246"/>
      <c r="CI129" s="245"/>
      <c r="CJ129" s="233"/>
      <c r="CK129" s="246"/>
      <c r="CL129" s="245"/>
      <c r="CM129" s="233"/>
      <c r="CN129" s="244"/>
    </row>
    <row r="130" spans="2:92" s="174" customFormat="1" ht="72" thickBot="1" x14ac:dyDescent="0.25">
      <c r="B130" s="1586"/>
      <c r="C130" s="1471"/>
      <c r="D130" s="1437"/>
      <c r="E130" s="1437"/>
      <c r="F130" s="1436" t="s">
        <v>1180</v>
      </c>
      <c r="G130" s="315" t="str">
        <f>+'Plan de Accion apoyo transversa'!X135</f>
        <v>Servicios, infraestructura, Sistemas de información migrados (Transición) a IPV6 y compatibilidad con IPV4</v>
      </c>
      <c r="H130" s="1547"/>
      <c r="I130" s="175"/>
      <c r="J130" s="214" t="e">
        <f>+'Plan de Accion apoyo transversa'!AW135</f>
        <v>#DIV/0!</v>
      </c>
      <c r="K130" s="476" t="str">
        <f>+'Plan de Accion apoyo transversa'!CF135</f>
        <v>No Prog ni Ejec</v>
      </c>
      <c r="L130" s="476" t="s">
        <v>204</v>
      </c>
      <c r="M130" s="476">
        <f>+'Plan de Accion apoyo transversa'!AY135</f>
        <v>0</v>
      </c>
      <c r="N130" s="476">
        <f t="shared" si="66"/>
        <v>0</v>
      </c>
      <c r="O130" s="476" t="s">
        <v>204</v>
      </c>
      <c r="P130" s="213"/>
      <c r="Q130" s="214" t="e">
        <f>+'Plan de Accion apoyo transversa'!BG135</f>
        <v>#DIV/0!</v>
      </c>
      <c r="R130" s="248" t="str">
        <f>+'Plan de Accion apoyo transversa'!CH135</f>
        <v>No Prog ni Ejec</v>
      </c>
      <c r="S130" s="212" t="s">
        <v>204</v>
      </c>
      <c r="T130" s="304">
        <f>+'Plan de Accion apoyo transversa'!BI135</f>
        <v>0</v>
      </c>
      <c r="U130" s="304">
        <f t="shared" si="94"/>
        <v>0</v>
      </c>
      <c r="V130" s="211" t="s">
        <v>204</v>
      </c>
      <c r="W130" s="213"/>
      <c r="X130" s="214">
        <f>+'Plan de Accion apoyo transversa'!BQ135</f>
        <v>1</v>
      </c>
      <c r="Y130" s="248">
        <f>+'Plan de Accion apoyo transversa'!CJ135</f>
        <v>1</v>
      </c>
      <c r="Z130" s="212">
        <f t="shared" si="80"/>
        <v>1</v>
      </c>
      <c r="AA130" s="217">
        <f>+'Plan de Accion apoyo transversa'!BS135</f>
        <v>0.1</v>
      </c>
      <c r="AB130" s="217">
        <f t="shared" si="95"/>
        <v>0.1</v>
      </c>
      <c r="AC130" s="302">
        <f t="shared" si="81"/>
        <v>0.1</v>
      </c>
      <c r="AD130" s="213"/>
      <c r="AE130" s="214">
        <f>+'Plan de Accion apoyo transversa'!CA135</f>
        <v>1</v>
      </c>
      <c r="AF130" s="248">
        <f>+'Plan de Accion apoyo transversa'!CL135</f>
        <v>1</v>
      </c>
      <c r="AG130" s="212">
        <f t="shared" si="82"/>
        <v>1</v>
      </c>
      <c r="AH130" s="248">
        <f>+'Plan de Accion apoyo transversa'!CC135</f>
        <v>1</v>
      </c>
      <c r="AI130" s="211">
        <f t="shared" si="96"/>
        <v>1</v>
      </c>
      <c r="AJ130" s="247"/>
      <c r="AK130" s="1168"/>
      <c r="AL130" s="246"/>
      <c r="AM130" s="245"/>
      <c r="AN130" s="233"/>
      <c r="AO130" s="246"/>
      <c r="AP130" s="245"/>
      <c r="AQ130" s="233"/>
      <c r="AR130" s="246"/>
      <c r="AS130" s="245"/>
      <c r="AT130" s="233"/>
      <c r="AU130" s="246"/>
      <c r="AV130" s="245"/>
      <c r="AW130" s="233"/>
      <c r="AX130" s="244"/>
      <c r="AY130" s="233"/>
      <c r="AZ130" s="246"/>
      <c r="BA130" s="245"/>
      <c r="BB130" s="233"/>
      <c r="BC130" s="246"/>
      <c r="BD130" s="245"/>
      <c r="BE130" s="233"/>
      <c r="BF130" s="246"/>
      <c r="BG130" s="245"/>
      <c r="BH130" s="233"/>
      <c r="BI130" s="246"/>
      <c r="BJ130" s="245"/>
      <c r="BK130" s="233"/>
      <c r="BL130" s="244"/>
      <c r="BN130" s="246"/>
      <c r="BO130" s="245"/>
      <c r="BP130" s="233"/>
      <c r="BQ130" s="246"/>
      <c r="BR130" s="245"/>
      <c r="BS130" s="233"/>
      <c r="BT130" s="246"/>
      <c r="BU130" s="245"/>
      <c r="BV130" s="233"/>
      <c r="BW130" s="246"/>
      <c r="BX130" s="245"/>
      <c r="BY130" s="233"/>
      <c r="BZ130" s="244"/>
      <c r="CB130" s="246"/>
      <c r="CC130" s="245"/>
      <c r="CD130" s="233"/>
      <c r="CE130" s="246"/>
      <c r="CF130" s="245"/>
      <c r="CG130" s="233"/>
      <c r="CH130" s="246"/>
      <c r="CI130" s="245"/>
      <c r="CJ130" s="233"/>
      <c r="CK130" s="246"/>
      <c r="CL130" s="245"/>
      <c r="CM130" s="233"/>
      <c r="CN130" s="244"/>
    </row>
    <row r="131" spans="2:92" s="174" customFormat="1" ht="72" thickBot="1" x14ac:dyDescent="0.25">
      <c r="B131" s="1586"/>
      <c r="C131" s="1471"/>
      <c r="D131" s="1437"/>
      <c r="E131" s="1437"/>
      <c r="F131" s="1438"/>
      <c r="G131" s="315" t="str">
        <f>+'Plan de Accion apoyo transversa'!X136</f>
        <v>Informe sobre servicios técnicos para realizar análisis de vulnerabilidades, ethical Hacking y pruebas de Ingeniería Social adquiridos</v>
      </c>
      <c r="H131" s="1547"/>
      <c r="I131" s="175"/>
      <c r="J131" s="214" t="e">
        <f>+'Plan de Accion apoyo transversa'!AW136</f>
        <v>#DIV/0!</v>
      </c>
      <c r="K131" s="476" t="str">
        <f>+'Plan de Accion apoyo transversa'!CF136</f>
        <v>No Prog ni Ejec</v>
      </c>
      <c r="L131" s="476" t="s">
        <v>204</v>
      </c>
      <c r="M131" s="476">
        <f>+'Plan de Accion apoyo transversa'!AY136</f>
        <v>0</v>
      </c>
      <c r="N131" s="476">
        <f t="shared" si="66"/>
        <v>0</v>
      </c>
      <c r="O131" s="476" t="s">
        <v>204</v>
      </c>
      <c r="P131" s="213"/>
      <c r="Q131" s="214">
        <f>+'Plan de Accion apoyo transversa'!BG136</f>
        <v>0</v>
      </c>
      <c r="R131" s="248" t="s">
        <v>180</v>
      </c>
      <c r="S131" s="212" t="s">
        <v>204</v>
      </c>
      <c r="T131" s="304" t="s">
        <v>204</v>
      </c>
      <c r="U131" s="304" t="s">
        <v>204</v>
      </c>
      <c r="V131" s="211" t="s">
        <v>204</v>
      </c>
      <c r="W131" s="213"/>
      <c r="X131" s="214">
        <f>+'Plan de Accion apoyo transversa'!BQ136</f>
        <v>0</v>
      </c>
      <c r="Y131" s="248" t="s">
        <v>180</v>
      </c>
      <c r="Z131" s="212" t="s">
        <v>204</v>
      </c>
      <c r="AA131" s="217" t="s">
        <v>204</v>
      </c>
      <c r="AB131" s="217" t="s">
        <v>204</v>
      </c>
      <c r="AC131" s="302" t="s">
        <v>204</v>
      </c>
      <c r="AD131" s="213"/>
      <c r="AE131" s="214" t="e">
        <f>+'Plan de Accion apoyo transversa'!CA136</f>
        <v>#DIV/0!</v>
      </c>
      <c r="AF131" s="248" t="str">
        <f>+'Plan de Accion apoyo transversa'!CL136</f>
        <v>No Prog ni Ejec</v>
      </c>
      <c r="AG131" s="212" t="s">
        <v>204</v>
      </c>
      <c r="AH131" s="248" t="s">
        <v>204</v>
      </c>
      <c r="AI131" s="211" t="s">
        <v>204</v>
      </c>
      <c r="AJ131" s="247"/>
      <c r="AK131" s="1168"/>
      <c r="AL131" s="246"/>
      <c r="AM131" s="245"/>
      <c r="AN131" s="233"/>
      <c r="AO131" s="246"/>
      <c r="AP131" s="245"/>
      <c r="AQ131" s="233"/>
      <c r="AR131" s="246"/>
      <c r="AS131" s="245"/>
      <c r="AT131" s="233"/>
      <c r="AU131" s="246"/>
      <c r="AV131" s="245"/>
      <c r="AW131" s="233"/>
      <c r="AX131" s="244"/>
      <c r="AY131" s="233"/>
      <c r="AZ131" s="246"/>
      <c r="BA131" s="245"/>
      <c r="BB131" s="233"/>
      <c r="BC131" s="246"/>
      <c r="BD131" s="245"/>
      <c r="BE131" s="233"/>
      <c r="BF131" s="246"/>
      <c r="BG131" s="245"/>
      <c r="BH131" s="233"/>
      <c r="BI131" s="246"/>
      <c r="BJ131" s="245"/>
      <c r="BK131" s="233"/>
      <c r="BL131" s="244"/>
      <c r="BN131" s="246"/>
      <c r="BO131" s="245"/>
      <c r="BP131" s="233"/>
      <c r="BQ131" s="246"/>
      <c r="BR131" s="245"/>
      <c r="BS131" s="233"/>
      <c r="BT131" s="246"/>
      <c r="BU131" s="245"/>
      <c r="BV131" s="233"/>
      <c r="BW131" s="246"/>
      <c r="BX131" s="245"/>
      <c r="BY131" s="233"/>
      <c r="BZ131" s="244"/>
      <c r="CB131" s="246"/>
      <c r="CC131" s="245"/>
      <c r="CD131" s="233"/>
      <c r="CE131" s="246"/>
      <c r="CF131" s="245"/>
      <c r="CG131" s="233"/>
      <c r="CH131" s="246"/>
      <c r="CI131" s="245"/>
      <c r="CJ131" s="233"/>
      <c r="CK131" s="246"/>
      <c r="CL131" s="245"/>
      <c r="CM131" s="233"/>
      <c r="CN131" s="244"/>
    </row>
    <row r="132" spans="2:92" s="174" customFormat="1" ht="57.75" thickBot="1" x14ac:dyDescent="0.25">
      <c r="B132" s="1587"/>
      <c r="C132" s="1474"/>
      <c r="D132" s="1549"/>
      <c r="E132" s="1549"/>
      <c r="F132" s="301" t="s">
        <v>1181</v>
      </c>
      <c r="G132" s="315" t="str">
        <f>+'Plan de Accion apoyo transversa'!X139</f>
        <v>Plan Estratégico de TI  estructurado, elaborado y aprobado</v>
      </c>
      <c r="H132" s="1548"/>
      <c r="I132" s="175"/>
      <c r="J132" s="214" t="e">
        <f>+'Plan de Accion apoyo transversa'!AW139</f>
        <v>#DIV/0!</v>
      </c>
      <c r="K132" s="248" t="str">
        <f>+'Plan de Accion apoyo transversa'!CF139</f>
        <v>No Prog ni Ejec</v>
      </c>
      <c r="L132" s="304" t="s">
        <v>204</v>
      </c>
      <c r="M132" s="476">
        <f>+'Plan de Accion apoyo transversa'!AY139</f>
        <v>0</v>
      </c>
      <c r="N132" s="476">
        <f t="shared" si="66"/>
        <v>0</v>
      </c>
      <c r="O132" s="476" t="s">
        <v>204</v>
      </c>
      <c r="P132" s="213"/>
      <c r="Q132" s="653" t="e">
        <f>+'Plan de Accion apoyo transversa'!BG139</f>
        <v>#DIV/0!</v>
      </c>
      <c r="R132" s="648" t="str">
        <f>+'Plan de Accion apoyo transversa'!CH139</f>
        <v>No Prog ni Ejec</v>
      </c>
      <c r="S132" s="440" t="s">
        <v>204</v>
      </c>
      <c r="T132" s="649">
        <f>+'Plan de Accion apoyo transversa'!BI139</f>
        <v>0</v>
      </c>
      <c r="U132" s="649">
        <f t="shared" si="94"/>
        <v>0</v>
      </c>
      <c r="V132" s="442" t="s">
        <v>204</v>
      </c>
      <c r="W132" s="213"/>
      <c r="X132" s="963">
        <f>+'Plan de Accion apoyo transversa'!BQ139</f>
        <v>9.9268822229361994E-2</v>
      </c>
      <c r="Y132" s="964">
        <f>+'Plan de Accion apoyo transversa'!CJ139</f>
        <v>9.9268822229361994E-2</v>
      </c>
      <c r="Z132" s="440">
        <f t="shared" si="80"/>
        <v>9.9268822229361994E-2</v>
      </c>
      <c r="AA132" s="441">
        <f>+'Plan de Accion apoyo transversa'!BS139</f>
        <v>6.6510110893672536E-2</v>
      </c>
      <c r="AB132" s="441">
        <f t="shared" si="95"/>
        <v>6.6510110893672536E-2</v>
      </c>
      <c r="AC132" s="966">
        <f t="shared" si="81"/>
        <v>6.6510110893672536E-2</v>
      </c>
      <c r="AD132" s="213"/>
      <c r="AE132" s="214">
        <f>+'Plan de Accion apoyo transversa'!CA139</f>
        <v>1.8181818181818181</v>
      </c>
      <c r="AF132" s="248">
        <f>+'Plan de Accion apoyo transversa'!CL139</f>
        <v>1.8181818181818181</v>
      </c>
      <c r="AG132" s="212">
        <f t="shared" ref="AG132:AG139" si="97">IF(AF132&gt;100%,100%,AF132)</f>
        <v>1</v>
      </c>
      <c r="AH132" s="248">
        <f>+'Plan de Accion apoyo transversa'!CC139</f>
        <v>0.66651011089367251</v>
      </c>
      <c r="AI132" s="211">
        <f t="shared" si="96"/>
        <v>0.66651011089367251</v>
      </c>
      <c r="AJ132" s="247"/>
      <c r="AK132" s="1168">
        <v>1</v>
      </c>
      <c r="AL132" s="246"/>
      <c r="AM132" s="245"/>
      <c r="AN132" s="233"/>
      <c r="AO132" s="246"/>
      <c r="AP132" s="245"/>
      <c r="AQ132" s="233"/>
      <c r="AR132" s="246"/>
      <c r="AS132" s="245"/>
      <c r="AT132" s="233"/>
      <c r="AU132" s="246"/>
      <c r="AV132" s="245"/>
      <c r="AW132" s="233"/>
      <c r="AX132" s="244"/>
      <c r="AY132" s="233"/>
      <c r="AZ132" s="246"/>
      <c r="BA132" s="245"/>
      <c r="BB132" s="233"/>
      <c r="BC132" s="246"/>
      <c r="BD132" s="245"/>
      <c r="BE132" s="233"/>
      <c r="BF132" s="246"/>
      <c r="BG132" s="245"/>
      <c r="BH132" s="233"/>
      <c r="BI132" s="246"/>
      <c r="BJ132" s="245"/>
      <c r="BK132" s="233"/>
      <c r="BL132" s="244"/>
      <c r="BN132" s="246"/>
      <c r="BO132" s="245"/>
      <c r="BP132" s="233"/>
      <c r="BQ132" s="246"/>
      <c r="BR132" s="245"/>
      <c r="BS132" s="233"/>
      <c r="BT132" s="246"/>
      <c r="BU132" s="245"/>
      <c r="BV132" s="233"/>
      <c r="BW132" s="246"/>
      <c r="BX132" s="245"/>
      <c r="BY132" s="233"/>
      <c r="BZ132" s="244"/>
      <c r="CB132" s="246"/>
      <c r="CC132" s="245"/>
      <c r="CD132" s="233"/>
      <c r="CE132" s="246"/>
      <c r="CF132" s="245"/>
      <c r="CG132" s="233"/>
      <c r="CH132" s="246"/>
      <c r="CI132" s="245"/>
      <c r="CJ132" s="233"/>
      <c r="CK132" s="246"/>
      <c r="CL132" s="245"/>
      <c r="CM132" s="233"/>
      <c r="CN132" s="244"/>
    </row>
    <row r="133" spans="2:92" ht="20.25" thickBot="1" x14ac:dyDescent="0.3">
      <c r="B133" s="1463" t="s">
        <v>208</v>
      </c>
      <c r="C133" s="1465"/>
      <c r="D133" s="1465"/>
      <c r="E133" s="1465"/>
      <c r="F133" s="1466"/>
      <c r="G133" s="1466"/>
      <c r="H133" s="1467"/>
      <c r="I133" s="236"/>
      <c r="J133" s="197" t="s">
        <v>204</v>
      </c>
      <c r="K133" s="196">
        <f>AVERAGE(K15:K132)</f>
        <v>0.55040103049286337</v>
      </c>
      <c r="L133" s="196">
        <f>IF(K133&gt;100%,100%,K133)</f>
        <v>0.55040103049286337</v>
      </c>
      <c r="M133" s="196">
        <f>AVERAGE(M15:M35,M37:M132)</f>
        <v>0.12737285931357434</v>
      </c>
      <c r="N133" s="196">
        <f>IF(M133&gt;25%,25%,M133)</f>
        <v>0.12737285931357434</v>
      </c>
      <c r="O133" s="199">
        <f>AVERAGE(O15:O132)</f>
        <v>0.17099458179721055</v>
      </c>
      <c r="P133" s="198"/>
      <c r="Q133" s="197" t="s">
        <v>204</v>
      </c>
      <c r="R133" s="200">
        <f>AVERAGE(R15:R132)</f>
        <v>0.84577317318751155</v>
      </c>
      <c r="S133" s="196">
        <f>IF(R133&gt;100%,100%,R133)</f>
        <v>0.84577317318751155</v>
      </c>
      <c r="T133" s="782">
        <f>AVERAGE(T15:T35,T37:T132)</f>
        <v>0.28768990458216648</v>
      </c>
      <c r="U133" s="782">
        <f>IF(T133&gt;50%,50%,T133)</f>
        <v>0.28768990458216648</v>
      </c>
      <c r="V133" s="783">
        <f>AVERAGE(V15:V132)</f>
        <v>0.33482833748820862</v>
      </c>
      <c r="W133" s="198"/>
      <c r="X133" s="197" t="s">
        <v>204</v>
      </c>
      <c r="Y133" s="200">
        <f>AVERAGE(Y15:Y132)</f>
        <v>0.80419898632732356</v>
      </c>
      <c r="Z133" s="196">
        <f t="shared" si="80"/>
        <v>0.80419898632732356</v>
      </c>
      <c r="AA133" s="974">
        <f>AVERAGE(AA15:AA35,AA37:AA132)</f>
        <v>0.47911534355341673</v>
      </c>
      <c r="AB133" s="974">
        <f>IF(AA133&gt;75%,75%,AA133)</f>
        <v>0.47911534355341673</v>
      </c>
      <c r="AC133" s="975">
        <f>AVERAGE(AC15:AC132)</f>
        <v>0.48271812005289733</v>
      </c>
      <c r="AD133" s="198"/>
      <c r="AE133" s="197" t="s">
        <v>204</v>
      </c>
      <c r="AF133" s="200">
        <f>AVERAGE(AF15:AF132)</f>
        <v>0.90207263789695769</v>
      </c>
      <c r="AG133" s="196">
        <f t="shared" si="97"/>
        <v>0.90207263789695769</v>
      </c>
      <c r="AH133" s="200">
        <f>AVERAGE(AH15:AH132)</f>
        <v>0.73375513227101707</v>
      </c>
      <c r="AI133" s="199">
        <f>AVERAGE(AI15:AI132)</f>
        <v>0.72750651856533666</v>
      </c>
      <c r="AJ133" s="243"/>
      <c r="AK133" s="1167"/>
      <c r="AL133" s="241"/>
      <c r="AM133" s="240"/>
      <c r="AN133" s="242"/>
      <c r="AO133" s="241"/>
      <c r="AP133" s="240"/>
      <c r="AQ133" s="242"/>
      <c r="AR133" s="241"/>
      <c r="AS133" s="240"/>
      <c r="AT133" s="242"/>
      <c r="AU133" s="241"/>
      <c r="AV133" s="240"/>
      <c r="AW133" s="235"/>
      <c r="AX133" s="239"/>
      <c r="AY133" s="235"/>
      <c r="AZ133" s="241"/>
      <c r="BA133" s="240"/>
      <c r="BB133" s="242"/>
      <c r="BC133" s="241"/>
      <c r="BD133" s="240"/>
      <c r="BE133" s="242"/>
      <c r="BF133" s="241"/>
      <c r="BG133" s="240"/>
      <c r="BH133" s="242"/>
      <c r="BI133" s="241"/>
      <c r="BJ133" s="240"/>
      <c r="BK133" s="235"/>
      <c r="BL133" s="239"/>
      <c r="BN133" s="241"/>
      <c r="BO133" s="240"/>
      <c r="BP133" s="242"/>
      <c r="BQ133" s="241"/>
      <c r="BR133" s="240"/>
      <c r="BS133" s="242"/>
      <c r="BT133" s="241"/>
      <c r="BU133" s="240"/>
      <c r="BV133" s="242"/>
      <c r="BW133" s="241"/>
      <c r="BX133" s="240"/>
      <c r="BY133" s="235"/>
      <c r="BZ133" s="239"/>
      <c r="CB133" s="241"/>
      <c r="CC133" s="240"/>
      <c r="CD133" s="242"/>
      <c r="CE133" s="241"/>
      <c r="CF133" s="240"/>
      <c r="CG133" s="242"/>
      <c r="CH133" s="241"/>
      <c r="CI133" s="240"/>
      <c r="CJ133" s="242"/>
      <c r="CK133" s="241"/>
      <c r="CL133" s="240"/>
      <c r="CM133" s="235"/>
      <c r="CN133" s="239"/>
    </row>
    <row r="134" spans="2:92" ht="96.75" customHeight="1" x14ac:dyDescent="0.25">
      <c r="B134" s="1588" t="s">
        <v>1156</v>
      </c>
      <c r="C134" s="1471" t="s">
        <v>345</v>
      </c>
      <c r="D134" s="1462" t="s">
        <v>1149</v>
      </c>
      <c r="E134" s="1472" t="s">
        <v>13</v>
      </c>
      <c r="F134" s="1438" t="s">
        <v>330</v>
      </c>
      <c r="G134" s="1553" t="str">
        <f>+'Plan de Accion Proyectos estrat'!K9</f>
        <v>Paquetes de recobros y reclamaciones del rezago entregados para pago certificados por la Firma Interventora / Grupo supervisor de la ADRES o quien haga sus veces</v>
      </c>
      <c r="H134" s="306" t="str">
        <f>+'Plan de Accion Proyectos estrat'!X9</f>
        <v>#Paquetes de recobros y reclamaciones de rezago entregados para pago con interventoría certificada / # Paquetes de recobros y reclamaciones rezagados</v>
      </c>
      <c r="I134" s="236"/>
      <c r="J134" s="775">
        <f>+'Plan de Accion Proyectos estrat'!AG9</f>
        <v>3.4280662133819627E-6</v>
      </c>
      <c r="K134" s="532">
        <f>+'Plan de Accion Proyectos estrat'!AI9</f>
        <v>1.3712264853527851E-5</v>
      </c>
      <c r="L134" s="779">
        <f>IF(K134&gt;100%,100%,K134)</f>
        <v>1.3712264853527851E-5</v>
      </c>
      <c r="M134" s="779">
        <f>+'Plan de Accion Proyectos estrat'!AK9</f>
        <v>3.4280662133819627E-6</v>
      </c>
      <c r="N134" s="779">
        <f t="shared" si="66"/>
        <v>3.4280662133819627E-6</v>
      </c>
      <c r="O134" s="780">
        <f t="shared" ref="O134:O145" si="98">+N134</f>
        <v>3.4280662133819627E-6</v>
      </c>
      <c r="P134" s="213"/>
      <c r="Q134" s="303">
        <f>+'Plan de Accion Proyectos estrat'!AQ9</f>
        <v>0</v>
      </c>
      <c r="R134" s="304" t="s">
        <v>180</v>
      </c>
      <c r="S134" s="212" t="s">
        <v>204</v>
      </c>
      <c r="T134" s="779">
        <f>+'Plan de Accion Proyectos estrat'!AU9</f>
        <v>3.4280662133819627E-6</v>
      </c>
      <c r="U134" s="779">
        <f>IF(T134&gt;100%,100%,T134)</f>
        <v>3.4280662133819627E-6</v>
      </c>
      <c r="V134" s="781">
        <f>+U134</f>
        <v>3.4280662133819627E-6</v>
      </c>
      <c r="W134" s="213"/>
      <c r="X134" s="303">
        <f>+'Plan de Accion Proyectos estrat'!BA9</f>
        <v>0</v>
      </c>
      <c r="Y134" s="304" t="s">
        <v>180</v>
      </c>
      <c r="Z134" s="212" t="s">
        <v>204</v>
      </c>
      <c r="AA134" s="972">
        <f>+'Plan de Accion Proyectos estrat'!BE9</f>
        <v>3.4280662133819627E-6</v>
      </c>
      <c r="AB134" s="972">
        <f>IF(AA134&gt;100%,100%,AA134)</f>
        <v>3.4280662133819627E-6</v>
      </c>
      <c r="AC134" s="973">
        <f>+AB134</f>
        <v>3.4280662133819627E-6</v>
      </c>
      <c r="AD134" s="213"/>
      <c r="AE134" s="303">
        <f>+'Plan de Accion Proyectos estrat'!BK9</f>
        <v>0</v>
      </c>
      <c r="AF134" s="304" t="s">
        <v>180</v>
      </c>
      <c r="AG134" s="212" t="s">
        <v>204</v>
      </c>
      <c r="AH134" s="779">
        <f>+'Plan de Accion Proyectos estrat'!BO9</f>
        <v>3.4280662133819627E-6</v>
      </c>
      <c r="AI134" s="781">
        <f>IF(AH134&gt;100%,100%,AH134)</f>
        <v>3.4280662133819627E-6</v>
      </c>
      <c r="AJ134" s="1505"/>
      <c r="AK134" s="1167"/>
      <c r="AL134" s="1503"/>
      <c r="AM134" s="1499"/>
      <c r="AN134" s="204"/>
      <c r="AO134" s="1503"/>
      <c r="AP134" s="1499"/>
      <c r="AQ134" s="204"/>
      <c r="AR134" s="1503"/>
      <c r="AS134" s="1499"/>
      <c r="AT134" s="204"/>
      <c r="AU134" s="1503"/>
      <c r="AV134" s="1499"/>
      <c r="AW134" s="202"/>
      <c r="AX134" s="1506"/>
      <c r="AY134" s="235"/>
      <c r="AZ134" s="1503"/>
      <c r="BA134" s="1499"/>
      <c r="BB134" s="204"/>
      <c r="BC134" s="1503"/>
      <c r="BD134" s="1499"/>
      <c r="BE134" s="204"/>
      <c r="BF134" s="1503"/>
      <c r="BG134" s="1499"/>
      <c r="BH134" s="204"/>
      <c r="BI134" s="1503"/>
      <c r="BJ134" s="1499"/>
      <c r="BK134" s="202"/>
      <c r="BL134" s="1506"/>
      <c r="BN134" s="1503"/>
      <c r="BO134" s="1499"/>
      <c r="BP134" s="204"/>
      <c r="BQ134" s="1503"/>
      <c r="BR134" s="1499"/>
      <c r="BS134" s="204"/>
      <c r="BT134" s="1503"/>
      <c r="BU134" s="1499"/>
      <c r="BV134" s="204"/>
      <c r="BW134" s="1503"/>
      <c r="BX134" s="1499"/>
      <c r="BY134" s="202"/>
      <c r="BZ134" s="1506"/>
      <c r="CB134" s="1503"/>
      <c r="CC134" s="1499"/>
      <c r="CD134" s="204"/>
      <c r="CE134" s="1503"/>
      <c r="CF134" s="1499"/>
      <c r="CG134" s="204"/>
      <c r="CH134" s="1503"/>
      <c r="CI134" s="1499"/>
      <c r="CJ134" s="204"/>
      <c r="CK134" s="1503"/>
      <c r="CL134" s="1499"/>
      <c r="CM134" s="202"/>
      <c r="CN134" s="1506"/>
    </row>
    <row r="135" spans="2:92" ht="96.75" customHeight="1" x14ac:dyDescent="0.25">
      <c r="B135" s="1589"/>
      <c r="C135" s="1471"/>
      <c r="D135" s="1462"/>
      <c r="E135" s="1472"/>
      <c r="F135" s="1438"/>
      <c r="G135" s="1462"/>
      <c r="H135" s="662" t="str">
        <f>+'Plan de Accion Proyectos estrat'!X10</f>
        <v>#Paquetes de recobros y reclamaciones 2019 entregados para pago con interventoría certificada / # Paquetes de recobros y reclamaciones 2019  con trámite de auditoría por realizar</v>
      </c>
      <c r="I135" s="236"/>
      <c r="J135" s="776">
        <f>+'Plan de Accion Proyectos estrat'!AG10</f>
        <v>0</v>
      </c>
      <c r="K135" s="532" t="e">
        <f>+'Plan de Accion Proyectos estrat'!AI10</f>
        <v>#VALUE!</v>
      </c>
      <c r="L135" s="779" t="e">
        <f>IF(K135&gt;100%,100%,K135)</f>
        <v>#VALUE!</v>
      </c>
      <c r="M135" s="779" t="e">
        <f>+'Plan de Accion Proyectos estrat'!AK10</f>
        <v>#VALUE!</v>
      </c>
      <c r="N135" s="779" t="e">
        <f t="shared" ref="N135" si="99">IF(M135&gt;100%,100%,M135)</f>
        <v>#VALUE!</v>
      </c>
      <c r="O135" s="780" t="e">
        <f t="shared" ref="O135" si="100">+N135</f>
        <v>#VALUE!</v>
      </c>
      <c r="P135" s="213"/>
      <c r="Q135" s="654">
        <f>+'Plan de Accion Proyectos estrat'!AQ10</f>
        <v>0</v>
      </c>
      <c r="R135" s="248" t="s">
        <v>180</v>
      </c>
      <c r="S135" s="212" t="s">
        <v>204</v>
      </c>
      <c r="T135" s="650" t="s">
        <v>204</v>
      </c>
      <c r="U135" s="650" t="s">
        <v>204</v>
      </c>
      <c r="V135" s="211" t="s">
        <v>204</v>
      </c>
      <c r="W135" s="213"/>
      <c r="X135" s="654">
        <f>+'Plan de Accion Proyectos estrat'!BA10</f>
        <v>0</v>
      </c>
      <c r="Y135" s="248" t="s">
        <v>180</v>
      </c>
      <c r="Z135" s="212" t="s">
        <v>204</v>
      </c>
      <c r="AA135" s="217" t="s">
        <v>204</v>
      </c>
      <c r="AB135" s="217" t="s">
        <v>204</v>
      </c>
      <c r="AC135" s="216" t="s">
        <v>204</v>
      </c>
      <c r="AD135" s="213"/>
      <c r="AE135" s="654">
        <f>+'Plan de Accion Proyectos estrat'!BK10</f>
        <v>0</v>
      </c>
      <c r="AF135" s="248" t="s">
        <v>180</v>
      </c>
      <c r="AG135" s="212" t="s">
        <v>204</v>
      </c>
      <c r="AH135" s="650" t="s">
        <v>204</v>
      </c>
      <c r="AI135" s="211" t="s">
        <v>204</v>
      </c>
      <c r="AJ135" s="1482"/>
      <c r="AK135" s="1167"/>
      <c r="AL135" s="1504"/>
      <c r="AM135" s="1488"/>
      <c r="AN135" s="204"/>
      <c r="AO135" s="1504"/>
      <c r="AP135" s="1488"/>
      <c r="AQ135" s="204"/>
      <c r="AR135" s="1504"/>
      <c r="AS135" s="1488"/>
      <c r="AT135" s="204"/>
      <c r="AU135" s="1504"/>
      <c r="AV135" s="1488"/>
      <c r="AW135" s="202"/>
      <c r="AX135" s="1507"/>
      <c r="AY135" s="235"/>
      <c r="AZ135" s="1504"/>
      <c r="BA135" s="1488"/>
      <c r="BB135" s="204"/>
      <c r="BC135" s="1504"/>
      <c r="BD135" s="1488"/>
      <c r="BE135" s="204"/>
      <c r="BF135" s="1504"/>
      <c r="BG135" s="1488"/>
      <c r="BH135" s="204"/>
      <c r="BI135" s="1504"/>
      <c r="BJ135" s="1488"/>
      <c r="BK135" s="202"/>
      <c r="BL135" s="1507"/>
      <c r="BN135" s="1504"/>
      <c r="BO135" s="1488"/>
      <c r="BP135" s="204"/>
      <c r="BQ135" s="1504"/>
      <c r="BR135" s="1488"/>
      <c r="BS135" s="204"/>
      <c r="BT135" s="1504"/>
      <c r="BU135" s="1488"/>
      <c r="BV135" s="204"/>
      <c r="BW135" s="1504"/>
      <c r="BX135" s="1488"/>
      <c r="BY135" s="202"/>
      <c r="BZ135" s="1507"/>
      <c r="CB135" s="1504"/>
      <c r="CC135" s="1488"/>
      <c r="CD135" s="204"/>
      <c r="CE135" s="1504"/>
      <c r="CF135" s="1488"/>
      <c r="CG135" s="204"/>
      <c r="CH135" s="1504"/>
      <c r="CI135" s="1488"/>
      <c r="CJ135" s="204"/>
      <c r="CK135" s="1504"/>
      <c r="CL135" s="1488"/>
      <c r="CM135" s="202"/>
      <c r="CN135" s="1507"/>
    </row>
    <row r="136" spans="2:92" ht="96.75" customHeight="1" x14ac:dyDescent="0.25">
      <c r="B136" s="1589"/>
      <c r="C136" s="1471"/>
      <c r="D136" s="1462"/>
      <c r="E136" s="1472"/>
      <c r="F136" s="1438"/>
      <c r="G136" s="1462"/>
      <c r="H136" s="662" t="str">
        <f>+'Plan de Accion Proyectos estrat'!X11</f>
        <v># de precierres validados de paquetes de recobros /# de precierres de paquetes de recobros entregados por la firma auditora</v>
      </c>
      <c r="I136" s="236"/>
      <c r="J136" s="654" t="str">
        <f>+'Plan de Accion Proyectos estrat'!AG11</f>
        <v>N.A</v>
      </c>
      <c r="K136" s="248" t="s">
        <v>180</v>
      </c>
      <c r="L136" s="650" t="s">
        <v>204</v>
      </c>
      <c r="M136" s="650" t="s">
        <v>204</v>
      </c>
      <c r="N136" s="650" t="s">
        <v>204</v>
      </c>
      <c r="O136" s="651" t="s">
        <v>204</v>
      </c>
      <c r="P136" s="213"/>
      <c r="Q136" s="654">
        <f>+'Plan de Accion Proyectos estrat'!AQ11</f>
        <v>0.25</v>
      </c>
      <c r="R136" s="650">
        <f>+'Plan de Accion Proyectos estrat'!AS11</f>
        <v>1</v>
      </c>
      <c r="S136" s="212">
        <f t="shared" ref="S136" si="101">IF(R136&gt;100%,100%,R136)</f>
        <v>1</v>
      </c>
      <c r="T136" s="650">
        <f>+'Plan de Accion Proyectos estrat'!AU11</f>
        <v>0.33333333333333331</v>
      </c>
      <c r="U136" s="650">
        <f t="shared" ref="U136" si="102">IF(T136&gt;100%,100%,T136)</f>
        <v>0.33333333333333331</v>
      </c>
      <c r="V136" s="211">
        <f t="shared" ref="V136" si="103">+U136</f>
        <v>0.33333333333333331</v>
      </c>
      <c r="W136" s="213"/>
      <c r="X136" s="654">
        <f>+'Plan de Accion Proyectos estrat'!BA11</f>
        <v>0.25</v>
      </c>
      <c r="Y136" s="650">
        <f>+'Plan de Accion Proyectos estrat'!BC11</f>
        <v>1</v>
      </c>
      <c r="Z136" s="212">
        <f t="shared" ref="Z136" si="104">IF(Y136&gt;100%,100%,Y136)</f>
        <v>1</v>
      </c>
      <c r="AA136" s="217">
        <f>+'Plan de Accion Proyectos estrat'!BE11</f>
        <v>0.66666666666666663</v>
      </c>
      <c r="AB136" s="217">
        <f t="shared" ref="AB136" si="105">IF(AA136&gt;100%,100%,AA136)</f>
        <v>0.66666666666666663</v>
      </c>
      <c r="AC136" s="216">
        <f t="shared" ref="AC136" si="106">+AB136</f>
        <v>0.66666666666666663</v>
      </c>
      <c r="AD136" s="213"/>
      <c r="AE136" s="654" t="e">
        <f>+'Plan de Accion Proyectos estrat'!BK11</f>
        <v>#DIV/0!</v>
      </c>
      <c r="AF136" s="650" t="s">
        <v>204</v>
      </c>
      <c r="AG136" s="212" t="s">
        <v>204</v>
      </c>
      <c r="AH136" s="650">
        <f>+'Plan de Accion Proyectos estrat'!BO11</f>
        <v>0.66666666666666663</v>
      </c>
      <c r="AI136" s="1160">
        <f>IF(AH136&gt;100%,100%,AH136)</f>
        <v>0.66666666666666663</v>
      </c>
      <c r="AJ136" s="1482"/>
      <c r="AK136" s="1167"/>
      <c r="AL136" s="1504"/>
      <c r="AM136" s="1488"/>
      <c r="AN136" s="204"/>
      <c r="AO136" s="1504"/>
      <c r="AP136" s="1488"/>
      <c r="AQ136" s="204"/>
      <c r="AR136" s="1504"/>
      <c r="AS136" s="1488"/>
      <c r="AT136" s="204"/>
      <c r="AU136" s="1504"/>
      <c r="AV136" s="1488"/>
      <c r="AW136" s="202"/>
      <c r="AX136" s="1507"/>
      <c r="AY136" s="235"/>
      <c r="AZ136" s="1504"/>
      <c r="BA136" s="1488"/>
      <c r="BB136" s="204"/>
      <c r="BC136" s="1504"/>
      <c r="BD136" s="1488"/>
      <c r="BE136" s="204"/>
      <c r="BF136" s="1504"/>
      <c r="BG136" s="1488"/>
      <c r="BH136" s="204"/>
      <c r="BI136" s="1504"/>
      <c r="BJ136" s="1488"/>
      <c r="BK136" s="202"/>
      <c r="BL136" s="1507"/>
      <c r="BN136" s="1504"/>
      <c r="BO136" s="1488"/>
      <c r="BP136" s="204"/>
      <c r="BQ136" s="1504"/>
      <c r="BR136" s="1488"/>
      <c r="BS136" s="204"/>
      <c r="BT136" s="1504"/>
      <c r="BU136" s="1488"/>
      <c r="BV136" s="204"/>
      <c r="BW136" s="1504"/>
      <c r="BX136" s="1488"/>
      <c r="BY136" s="202"/>
      <c r="BZ136" s="1507"/>
      <c r="CB136" s="1504"/>
      <c r="CC136" s="1488"/>
      <c r="CD136" s="204"/>
      <c r="CE136" s="1504"/>
      <c r="CF136" s="1488"/>
      <c r="CG136" s="204"/>
      <c r="CH136" s="1504"/>
      <c r="CI136" s="1488"/>
      <c r="CJ136" s="204"/>
      <c r="CK136" s="1504"/>
      <c r="CL136" s="1488"/>
      <c r="CM136" s="202"/>
      <c r="CN136" s="1507"/>
    </row>
    <row r="137" spans="2:92" ht="96" customHeight="1" x14ac:dyDescent="0.25">
      <c r="B137" s="1589"/>
      <c r="C137" s="1471"/>
      <c r="D137" s="1462"/>
      <c r="E137" s="1545"/>
      <c r="F137" s="1544"/>
      <c r="G137" s="1462"/>
      <c r="H137" s="224" t="str">
        <f>+'Plan de Accion Proyectos estrat'!X12</f>
        <v xml:space="preserve"># de precierres validados de paquetes de reclamaciones /# de precierres de paquetes de reclamaciones entregados por la firma auditora  </v>
      </c>
      <c r="I137" s="236"/>
      <c r="J137" s="303" t="str">
        <f>+'Plan de Accion Proyectos estrat'!AG12</f>
        <v>N.A</v>
      </c>
      <c r="K137" s="248" t="s">
        <v>180</v>
      </c>
      <c r="L137" s="476" t="s">
        <v>204</v>
      </c>
      <c r="M137" s="650" t="s">
        <v>204</v>
      </c>
      <c r="N137" s="650" t="s">
        <v>204</v>
      </c>
      <c r="O137" s="478" t="s">
        <v>204</v>
      </c>
      <c r="P137" s="213"/>
      <c r="Q137" s="303">
        <f>+'Plan de Accion Proyectos estrat'!AQ12</f>
        <v>0.25</v>
      </c>
      <c r="R137" s="304">
        <f>+'Plan de Accion Proyectos estrat'!BT12</f>
        <v>1</v>
      </c>
      <c r="S137" s="212">
        <f>IF(R137&gt;100%,100%,R137)</f>
        <v>1</v>
      </c>
      <c r="T137" s="304">
        <f>+'Plan de Accion Proyectos estrat'!AU12</f>
        <v>0.33333333333333331</v>
      </c>
      <c r="U137" s="304">
        <f>IF(T137&gt;100%,100%,T137)</f>
        <v>0.33333333333333331</v>
      </c>
      <c r="V137" s="211">
        <f>+U137</f>
        <v>0.33333333333333331</v>
      </c>
      <c r="W137" s="213"/>
      <c r="X137" s="303">
        <f>+'Plan de Accion Proyectos estrat'!BA12</f>
        <v>0.22972972972972974</v>
      </c>
      <c r="Y137" s="304">
        <f>+'Plan de Accion Proyectos estrat'!BC12</f>
        <v>0.91891891891891897</v>
      </c>
      <c r="Z137" s="212">
        <f t="shared" si="80"/>
        <v>0.91891891891891897</v>
      </c>
      <c r="AA137" s="217">
        <f>+'Plan de Accion Proyectos estrat'!BE12</f>
        <v>0.63963963963963966</v>
      </c>
      <c r="AB137" s="217">
        <f>IF(AA137&gt;100%,100%,AA137)</f>
        <v>0.63963963963963966</v>
      </c>
      <c r="AC137" s="216">
        <f>+AB137</f>
        <v>0.63963963963963966</v>
      </c>
      <c r="AD137" s="213"/>
      <c r="AE137" s="303">
        <f>+'Plan de Accion Proyectos estrat'!BK12</f>
        <v>0.25</v>
      </c>
      <c r="AF137" s="304">
        <f>+'Plan de Accion Proyectos estrat'!BM12</f>
        <v>1</v>
      </c>
      <c r="AG137" s="212">
        <f t="shared" si="97"/>
        <v>1</v>
      </c>
      <c r="AH137" s="304">
        <f>+'Plan de Accion Proyectos estrat'!BO12</f>
        <v>0.97297297297297292</v>
      </c>
      <c r="AI137" s="211">
        <f>IF(AH137&gt;100%,100%,AH137)</f>
        <v>0.97297297297297292</v>
      </c>
      <c r="AJ137" s="1482"/>
      <c r="AK137" s="1167"/>
      <c r="AL137" s="1504"/>
      <c r="AM137" s="1488"/>
      <c r="AN137" s="204"/>
      <c r="AO137" s="1504"/>
      <c r="AP137" s="1488"/>
      <c r="AQ137" s="204"/>
      <c r="AR137" s="1504"/>
      <c r="AS137" s="1488"/>
      <c r="AT137" s="204"/>
      <c r="AU137" s="1504"/>
      <c r="AV137" s="1488"/>
      <c r="AW137" s="202"/>
      <c r="AX137" s="1507"/>
      <c r="AY137" s="235"/>
      <c r="AZ137" s="1504"/>
      <c r="BA137" s="1488"/>
      <c r="BB137" s="204"/>
      <c r="BC137" s="1504"/>
      <c r="BD137" s="1488"/>
      <c r="BE137" s="204"/>
      <c r="BF137" s="1504"/>
      <c r="BG137" s="1488"/>
      <c r="BH137" s="204"/>
      <c r="BI137" s="1504"/>
      <c r="BJ137" s="1488"/>
      <c r="BK137" s="202"/>
      <c r="BL137" s="1507"/>
      <c r="BN137" s="1504"/>
      <c r="BO137" s="1488"/>
      <c r="BP137" s="204"/>
      <c r="BQ137" s="1504"/>
      <c r="BR137" s="1488"/>
      <c r="BS137" s="204"/>
      <c r="BT137" s="1504"/>
      <c r="BU137" s="1488"/>
      <c r="BV137" s="204"/>
      <c r="BW137" s="1504"/>
      <c r="BX137" s="1488"/>
      <c r="BY137" s="202"/>
      <c r="BZ137" s="1507"/>
      <c r="CB137" s="1504"/>
      <c r="CC137" s="1488"/>
      <c r="CD137" s="204"/>
      <c r="CE137" s="1504"/>
      <c r="CF137" s="1488"/>
      <c r="CG137" s="204"/>
      <c r="CH137" s="1504"/>
      <c r="CI137" s="1488"/>
      <c r="CJ137" s="204"/>
      <c r="CK137" s="1504"/>
      <c r="CL137" s="1488"/>
      <c r="CM137" s="202"/>
      <c r="CN137" s="1507"/>
    </row>
    <row r="138" spans="2:92" ht="96" customHeight="1" x14ac:dyDescent="0.25">
      <c r="B138" s="1589"/>
      <c r="C138" s="1471"/>
      <c r="D138" s="1462"/>
      <c r="E138" s="1545"/>
      <c r="F138" s="1544"/>
      <c r="G138" s="1472"/>
      <c r="H138" s="224" t="str">
        <f>+'Plan de Accion Proyectos estrat'!X13</f>
        <v># de bitácoras generadas sobre el seguimiento a los paquetes de recobros y reclamaciones</v>
      </c>
      <c r="I138" s="236"/>
      <c r="J138" s="545" t="str">
        <f>+'Plan de Accion Proyectos estrat'!AG13</f>
        <v>N.A</v>
      </c>
      <c r="K138" s="248" t="s">
        <v>180</v>
      </c>
      <c r="L138" s="544" t="s">
        <v>204</v>
      </c>
      <c r="M138" s="650" t="s">
        <v>204</v>
      </c>
      <c r="N138" s="650" t="s">
        <v>204</v>
      </c>
      <c r="O138" s="546" t="s">
        <v>204</v>
      </c>
      <c r="P138" s="213"/>
      <c r="Q138" s="1157">
        <f>+'Plan de Accion Proyectos estrat'!AQ13</f>
        <v>2</v>
      </c>
      <c r="R138" s="544">
        <f>+'Plan de Accion Proyectos estrat'!BT13</f>
        <v>1</v>
      </c>
      <c r="S138" s="212">
        <f>IF(R138&gt;100%,100%,R138)</f>
        <v>1</v>
      </c>
      <c r="T138" s="544">
        <f>+'Plan de Accion Proyectos estrat'!AU13</f>
        <v>0.33333333333333331</v>
      </c>
      <c r="U138" s="544">
        <f>IF(T138&gt;100%,100%,T138)</f>
        <v>0.33333333333333331</v>
      </c>
      <c r="V138" s="211">
        <f>+U138</f>
        <v>0.33333333333333331</v>
      </c>
      <c r="W138" s="213"/>
      <c r="X138" s="1157">
        <f>+'Plan de Accion Proyectos estrat'!BA13</f>
        <v>2</v>
      </c>
      <c r="Y138" s="544">
        <f>+'Plan de Accion Proyectos estrat'!BC13</f>
        <v>1</v>
      </c>
      <c r="Z138" s="212">
        <f t="shared" ref="Z138" si="107">IF(Y138&gt;100%,100%,Y138)</f>
        <v>1</v>
      </c>
      <c r="AA138" s="217">
        <f>+'Plan de Accion Proyectos estrat'!BE13</f>
        <v>0.66666666666666663</v>
      </c>
      <c r="AB138" s="217">
        <f>IF(AA138&gt;100%,100%,AA138)</f>
        <v>0.66666666666666663</v>
      </c>
      <c r="AC138" s="216">
        <f>+AB138</f>
        <v>0.66666666666666663</v>
      </c>
      <c r="AD138" s="213"/>
      <c r="AE138" s="1157">
        <f>+'Plan de Accion Proyectos estrat'!BK13</f>
        <v>2</v>
      </c>
      <c r="AF138" s="544">
        <f>+'Plan de Accion Proyectos estrat'!BM13</f>
        <v>1</v>
      </c>
      <c r="AG138" s="212">
        <f t="shared" si="97"/>
        <v>1</v>
      </c>
      <c r="AH138" s="544">
        <f>+'Plan de Accion Proyectos estrat'!BO13</f>
        <v>1</v>
      </c>
      <c r="AI138" s="211">
        <f>IF(AH138&gt;100%,100%,AH138)</f>
        <v>1</v>
      </c>
      <c r="AJ138" s="1482"/>
      <c r="AK138" s="1167"/>
      <c r="AL138" s="1504"/>
      <c r="AM138" s="1488"/>
      <c r="AN138" s="204"/>
      <c r="AO138" s="1504"/>
      <c r="AP138" s="1488"/>
      <c r="AQ138" s="204"/>
      <c r="AR138" s="1504"/>
      <c r="AS138" s="1488"/>
      <c r="AT138" s="204"/>
      <c r="AU138" s="1504"/>
      <c r="AV138" s="1488"/>
      <c r="AW138" s="202"/>
      <c r="AX138" s="1507"/>
      <c r="AY138" s="235"/>
      <c r="AZ138" s="1504"/>
      <c r="BA138" s="1488"/>
      <c r="BB138" s="204"/>
      <c r="BC138" s="1504"/>
      <c r="BD138" s="1488"/>
      <c r="BE138" s="204"/>
      <c r="BF138" s="1504"/>
      <c r="BG138" s="1488"/>
      <c r="BH138" s="204"/>
      <c r="BI138" s="1504"/>
      <c r="BJ138" s="1488"/>
      <c r="BK138" s="202"/>
      <c r="BL138" s="1507"/>
      <c r="BN138" s="1504"/>
      <c r="BO138" s="1488"/>
      <c r="BP138" s="204"/>
      <c r="BQ138" s="1504"/>
      <c r="BR138" s="1488"/>
      <c r="BS138" s="204"/>
      <c r="BT138" s="1504"/>
      <c r="BU138" s="1488"/>
      <c r="BV138" s="204"/>
      <c r="BW138" s="1504"/>
      <c r="BX138" s="1488"/>
      <c r="BY138" s="202"/>
      <c r="BZ138" s="1507"/>
      <c r="CB138" s="1504"/>
      <c r="CC138" s="1488"/>
      <c r="CD138" s="204"/>
      <c r="CE138" s="1504"/>
      <c r="CF138" s="1488"/>
      <c r="CG138" s="204"/>
      <c r="CH138" s="1504"/>
      <c r="CI138" s="1488"/>
      <c r="CJ138" s="204"/>
      <c r="CK138" s="1504"/>
      <c r="CL138" s="1488"/>
      <c r="CM138" s="202"/>
      <c r="CN138" s="1507"/>
    </row>
    <row r="139" spans="2:92" ht="57.75" thickBot="1" x14ac:dyDescent="0.3">
      <c r="B139" s="1589"/>
      <c r="C139" s="1471"/>
      <c r="D139" s="1462"/>
      <c r="E139" s="1545"/>
      <c r="F139" s="1544"/>
      <c r="G139" s="308" t="str">
        <f>+'Plan de Accion Proyectos estrat'!K16</f>
        <v>Comunicaciones de ordenación del gasto resultantes del proceso de giro previo</v>
      </c>
      <c r="H139" s="224" t="str">
        <f>+'Plan de Accion Proyectos estrat'!X16</f>
        <v xml:space="preserve"># Comunicaciones de ordenación de gasto del giro previo </v>
      </c>
      <c r="I139" s="236"/>
      <c r="J139" s="218">
        <f>+'Plan de Accion Proyectos estrat'!AG16</f>
        <v>3</v>
      </c>
      <c r="K139" s="476">
        <f>+'Plan de Accion Proyectos estrat'!AI16</f>
        <v>1</v>
      </c>
      <c r="L139" s="476">
        <f>IF(K139&gt;100%,100%,K139)</f>
        <v>1</v>
      </c>
      <c r="M139" s="476">
        <f>+'Plan de Accion Proyectos estrat'!AK16</f>
        <v>0.25</v>
      </c>
      <c r="N139" s="476">
        <f t="shared" si="66"/>
        <v>0.25</v>
      </c>
      <c r="O139" s="478">
        <f t="shared" si="98"/>
        <v>0.25</v>
      </c>
      <c r="P139" s="213"/>
      <c r="Q139" s="218">
        <f>+'Plan de Accion Proyectos estrat'!AQ16</f>
        <v>6</v>
      </c>
      <c r="R139" s="304">
        <f>+'Plan de Accion Proyectos estrat'!AS16</f>
        <v>2</v>
      </c>
      <c r="S139" s="212">
        <f>IF(R139&gt;100%,100%,R139)</f>
        <v>1</v>
      </c>
      <c r="T139" s="304">
        <f>+'Plan de Accion Proyectos estrat'!AU16</f>
        <v>0.75</v>
      </c>
      <c r="U139" s="304">
        <f>IF(T139&gt;100%,100%,T139)</f>
        <v>0.75</v>
      </c>
      <c r="V139" s="211">
        <f>+U139</f>
        <v>0.75</v>
      </c>
      <c r="W139" s="213">
        <v>1</v>
      </c>
      <c r="X139" s="218">
        <f>+'Plan de Accion Proyectos estrat'!BA16</f>
        <v>8</v>
      </c>
      <c r="Y139" s="304">
        <f>+'Plan de Accion Proyectos estrat'!BC16</f>
        <v>2.6666666666666665</v>
      </c>
      <c r="Z139" s="212">
        <f t="shared" si="80"/>
        <v>1</v>
      </c>
      <c r="AA139" s="217">
        <f>+'Plan de Accion Proyectos estrat'!BE16</f>
        <v>1.4166666666666667</v>
      </c>
      <c r="AB139" s="217">
        <f>IF(AA139&gt;100%,100%,AA139)</f>
        <v>1</v>
      </c>
      <c r="AC139" s="216">
        <f>+AB139</f>
        <v>1</v>
      </c>
      <c r="AD139" s="213">
        <v>1</v>
      </c>
      <c r="AE139" s="219">
        <f>+'Plan de Accion Proyectos estrat'!BK16</f>
        <v>3</v>
      </c>
      <c r="AF139" s="304">
        <f>+'Plan de Accion Proyectos estrat'!BM16</f>
        <v>1</v>
      </c>
      <c r="AG139" s="212">
        <f t="shared" si="97"/>
        <v>1</v>
      </c>
      <c r="AH139" s="304">
        <f>+'Plan de Accion Proyectos estrat'!BO16</f>
        <v>1.6666666666666667</v>
      </c>
      <c r="AI139" s="211">
        <f>IF(AH139&gt;100%,100%,AH139)</f>
        <v>1</v>
      </c>
      <c r="AJ139" s="1483"/>
      <c r="AK139" s="1167">
        <v>1</v>
      </c>
      <c r="AL139" s="1509"/>
      <c r="AM139" s="1489"/>
      <c r="AN139" s="204"/>
      <c r="AO139" s="1509"/>
      <c r="AP139" s="1489"/>
      <c r="AQ139" s="204"/>
      <c r="AR139" s="1509"/>
      <c r="AS139" s="1489"/>
      <c r="AT139" s="204"/>
      <c r="AU139" s="1509"/>
      <c r="AV139" s="1489"/>
      <c r="AW139" s="202"/>
      <c r="AX139" s="1508"/>
      <c r="AY139" s="235"/>
      <c r="AZ139" s="1509"/>
      <c r="BA139" s="1489"/>
      <c r="BB139" s="204"/>
      <c r="BC139" s="1509"/>
      <c r="BD139" s="1489"/>
      <c r="BE139" s="204"/>
      <c r="BF139" s="1509"/>
      <c r="BG139" s="1489"/>
      <c r="BH139" s="204"/>
      <c r="BI139" s="1509"/>
      <c r="BJ139" s="1489"/>
      <c r="BK139" s="202"/>
      <c r="BL139" s="1508"/>
      <c r="BN139" s="1509"/>
      <c r="BO139" s="1489"/>
      <c r="BP139" s="204"/>
      <c r="BQ139" s="1509"/>
      <c r="BR139" s="1489"/>
      <c r="BS139" s="204"/>
      <c r="BT139" s="1509"/>
      <c r="BU139" s="1489"/>
      <c r="BV139" s="204"/>
      <c r="BW139" s="1509"/>
      <c r="BX139" s="1489"/>
      <c r="BY139" s="202"/>
      <c r="BZ139" s="1508"/>
      <c r="CB139" s="1509"/>
      <c r="CC139" s="1489"/>
      <c r="CD139" s="204"/>
      <c r="CE139" s="1509"/>
      <c r="CF139" s="1489"/>
      <c r="CG139" s="204"/>
      <c r="CH139" s="1509"/>
      <c r="CI139" s="1489"/>
      <c r="CJ139" s="204"/>
      <c r="CK139" s="1509"/>
      <c r="CL139" s="1489"/>
      <c r="CM139" s="202"/>
      <c r="CN139" s="1508"/>
    </row>
    <row r="140" spans="2:92" ht="183" customHeight="1" x14ac:dyDescent="0.25">
      <c r="B140" s="1589"/>
      <c r="C140" s="1471"/>
      <c r="D140" s="1462"/>
      <c r="E140" s="1545"/>
      <c r="F140" s="1544"/>
      <c r="G140" s="672" t="str">
        <f>+'Plan de Accion Proyectos estrat'!K17</f>
        <v>Comunicaciones de ordenación del gasto resultantes del proceso de pagos de los paquetes de recobros cuyo trámite de auditoria haya culminado</v>
      </c>
      <c r="H140" s="224"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40" s="236"/>
      <c r="J140" s="303">
        <f>+'Plan de Accion Proyectos estrat'!AG17</f>
        <v>0</v>
      </c>
      <c r="K140" s="668">
        <f>AVERAGE('Plan de Accion Proyectos estrat'!AI17:AI17)</f>
        <v>0</v>
      </c>
      <c r="L140" s="668">
        <f t="shared" ref="L140:L147" si="108">IF(K140&gt;100%,100%,K140)</f>
        <v>0</v>
      </c>
      <c r="M140" s="668">
        <f>AVERAGE('Plan de Accion Proyectos estrat'!AK17:AK17)</f>
        <v>0</v>
      </c>
      <c r="N140" s="668">
        <f t="shared" si="66"/>
        <v>0</v>
      </c>
      <c r="O140" s="667">
        <f t="shared" si="98"/>
        <v>0</v>
      </c>
      <c r="P140" s="213"/>
      <c r="Q140" s="303">
        <f>+'Plan de Accion Proyectos estrat'!AQ17</f>
        <v>0.25</v>
      </c>
      <c r="R140" s="668">
        <f>AVERAGE('Plan de Accion Proyectos estrat'!AS17:AS17)</f>
        <v>1</v>
      </c>
      <c r="S140" s="668">
        <f t="shared" ref="S140:S147" si="109">IF(R140&gt;100%,100%,R140)</f>
        <v>1</v>
      </c>
      <c r="T140" s="668">
        <f>AVERAGE('Plan de Accion Proyectos estrat'!AU17:AU17)</f>
        <v>0.25</v>
      </c>
      <c r="U140" s="668">
        <f t="shared" ref="U140:U147" si="110">IF(T140&gt;100%,100%,T140)</f>
        <v>0.25</v>
      </c>
      <c r="V140" s="667">
        <f t="shared" ref="V140:V158" si="111">+U140</f>
        <v>0.25</v>
      </c>
      <c r="W140" s="213"/>
      <c r="X140" s="303">
        <f>+'Plan de Accion Proyectos estrat'!BA17</f>
        <v>0.25</v>
      </c>
      <c r="Y140" s="987">
        <f>AVERAGE('Plan de Accion Proyectos estrat'!BC17:BC17)</f>
        <v>1</v>
      </c>
      <c r="Z140" s="987">
        <f t="shared" ref="Z140:Z158" si="112">IF(Y140&gt;100%,100%,Y140)</f>
        <v>1</v>
      </c>
      <c r="AA140" s="669">
        <f>AVERAGE('Plan de Accion Proyectos estrat'!BE17:BE17)</f>
        <v>0.5</v>
      </c>
      <c r="AB140" s="669">
        <f t="shared" ref="AB140:AB158" si="113">IF(AA140&gt;100%,100%,AA140)</f>
        <v>0.5</v>
      </c>
      <c r="AC140" s="670">
        <f t="shared" ref="AC140:AC158" si="114">+AB140</f>
        <v>0.5</v>
      </c>
      <c r="AD140" s="213"/>
      <c r="AE140" s="214">
        <f>+'Plan de Accion Proyectos estrat'!BK17</f>
        <v>0.25</v>
      </c>
      <c r="AF140" s="987">
        <f>AVERAGE('Plan de Accion Proyectos estrat'!BM17:BM17)</f>
        <v>1</v>
      </c>
      <c r="AG140" s="987">
        <f t="shared" ref="AG140:AG158" si="115">IF(AF140&gt;100%,100%,AF140)</f>
        <v>1</v>
      </c>
      <c r="AH140" s="987">
        <f>AVERAGE('Plan de Accion Proyectos estrat'!BO17:BO17)</f>
        <v>0.75</v>
      </c>
      <c r="AI140" s="1159">
        <f t="shared" ref="AI140:AI159" si="116">IF(AH140&gt;100%,100%,AH140)</f>
        <v>0.75</v>
      </c>
      <c r="AJ140" s="1505"/>
      <c r="AK140" s="1167"/>
      <c r="AL140" s="1510"/>
      <c r="AM140" s="1499"/>
      <c r="AN140" s="204"/>
      <c r="AO140" s="1510"/>
      <c r="AP140" s="1499"/>
      <c r="AQ140" s="204"/>
      <c r="AR140" s="1510"/>
      <c r="AS140" s="1499"/>
      <c r="AT140" s="204"/>
      <c r="AU140" s="1510"/>
      <c r="AV140" s="1499"/>
      <c r="AW140" s="202"/>
      <c r="AX140" s="1506"/>
      <c r="AY140" s="235"/>
      <c r="AZ140" s="1510"/>
      <c r="BA140" s="1499"/>
      <c r="BB140" s="204"/>
      <c r="BC140" s="1510"/>
      <c r="BD140" s="1499"/>
      <c r="BE140" s="204"/>
      <c r="BF140" s="1510"/>
      <c r="BG140" s="1499"/>
      <c r="BH140" s="204"/>
      <c r="BI140" s="1510"/>
      <c r="BJ140" s="1499"/>
      <c r="BK140" s="202"/>
      <c r="BL140" s="1506"/>
      <c r="BN140" s="1510"/>
      <c r="BO140" s="1499"/>
      <c r="BP140" s="204"/>
      <c r="BQ140" s="1510"/>
      <c r="BR140" s="1499"/>
      <c r="BS140" s="204"/>
      <c r="BT140" s="1510"/>
      <c r="BU140" s="1499"/>
      <c r="BV140" s="204"/>
      <c r="BW140" s="1510"/>
      <c r="BX140" s="1499"/>
      <c r="BY140" s="202"/>
      <c r="BZ140" s="1506"/>
      <c r="CB140" s="1510"/>
      <c r="CC140" s="1499"/>
      <c r="CD140" s="204"/>
      <c r="CE140" s="1510"/>
      <c r="CF140" s="1499"/>
      <c r="CG140" s="204"/>
      <c r="CH140" s="1510"/>
      <c r="CI140" s="1499"/>
      <c r="CJ140" s="204"/>
      <c r="CK140" s="1510"/>
      <c r="CL140" s="1499"/>
      <c r="CM140" s="202"/>
      <c r="CN140" s="1506"/>
    </row>
    <row r="141" spans="2:92" ht="66.75" customHeight="1" x14ac:dyDescent="0.25">
      <c r="B141" s="1589"/>
      <c r="C141" s="1471"/>
      <c r="D141" s="1462"/>
      <c r="E141" s="1545"/>
      <c r="F141" s="1544"/>
      <c r="G141" s="308" t="str">
        <f>+'Plan de Accion Proyectos estrat'!K18</f>
        <v>Correos electrónicos de solicitud de publicación del giro por recobros</v>
      </c>
      <c r="H141" s="224" t="str">
        <f>+'Plan de Accion Proyectos estrat'!X18</f>
        <v># Solicitudes de publicación de giros por recobros / # ordenaciones de giros por recobros</v>
      </c>
      <c r="I141" s="236"/>
      <c r="J141" s="303">
        <f>+'Plan de Accion Proyectos estrat'!AG18</f>
        <v>0.25</v>
      </c>
      <c r="K141" s="476">
        <f>+'Plan de Accion Proyectos estrat'!AI18</f>
        <v>1</v>
      </c>
      <c r="L141" s="476">
        <f t="shared" si="108"/>
        <v>1</v>
      </c>
      <c r="M141" s="476">
        <f>+'Plan de Accion Proyectos estrat'!AK18</f>
        <v>0.25</v>
      </c>
      <c r="N141" s="476">
        <f t="shared" si="66"/>
        <v>0.25</v>
      </c>
      <c r="O141" s="478">
        <f t="shared" si="98"/>
        <v>0.25</v>
      </c>
      <c r="P141" s="213"/>
      <c r="Q141" s="303">
        <f>+'Plan de Accion Proyectos estrat'!AQ18</f>
        <v>0.25</v>
      </c>
      <c r="R141" s="304">
        <f>+'Plan de Accion Proyectos estrat'!AS18</f>
        <v>1</v>
      </c>
      <c r="S141" s="212">
        <f t="shared" si="109"/>
        <v>1</v>
      </c>
      <c r="T141" s="304">
        <f>+'Plan de Accion Proyectos estrat'!AU18</f>
        <v>0.5</v>
      </c>
      <c r="U141" s="304">
        <f t="shared" si="110"/>
        <v>0.5</v>
      </c>
      <c r="V141" s="211">
        <f t="shared" si="111"/>
        <v>0.5</v>
      </c>
      <c r="W141" s="213"/>
      <c r="X141" s="303">
        <f>+'Plan de Accion Proyectos estrat'!BA18</f>
        <v>0.25</v>
      </c>
      <c r="Y141" s="304">
        <f>+'Plan de Accion Proyectos estrat'!BC18</f>
        <v>1</v>
      </c>
      <c r="Z141" s="212">
        <f t="shared" si="112"/>
        <v>1</v>
      </c>
      <c r="AA141" s="217">
        <f>+'Plan de Accion Proyectos estrat'!BE18</f>
        <v>0.75</v>
      </c>
      <c r="AB141" s="217">
        <f t="shared" si="113"/>
        <v>0.75</v>
      </c>
      <c r="AC141" s="216">
        <f t="shared" si="114"/>
        <v>0.75</v>
      </c>
      <c r="AD141" s="213"/>
      <c r="AE141" s="303">
        <f>+'Plan de Accion Proyectos estrat'!BK18</f>
        <v>0.25</v>
      </c>
      <c r="AF141" s="304">
        <f>+'Plan de Accion Proyectos estrat'!BM18</f>
        <v>1</v>
      </c>
      <c r="AG141" s="212">
        <f t="shared" si="115"/>
        <v>1</v>
      </c>
      <c r="AH141" s="304">
        <f>+'Plan de Accion Proyectos estrat'!BO18</f>
        <v>1</v>
      </c>
      <c r="AI141" s="211">
        <f t="shared" si="116"/>
        <v>1</v>
      </c>
      <c r="AJ141" s="1482"/>
      <c r="AK141" s="1167"/>
      <c r="AL141" s="1511"/>
      <c r="AM141" s="1488"/>
      <c r="AN141" s="204"/>
      <c r="AO141" s="1511"/>
      <c r="AP141" s="1488"/>
      <c r="AQ141" s="204"/>
      <c r="AR141" s="1511"/>
      <c r="AS141" s="1488"/>
      <c r="AT141" s="204"/>
      <c r="AU141" s="1511"/>
      <c r="AV141" s="1488"/>
      <c r="AW141" s="202"/>
      <c r="AX141" s="1507"/>
      <c r="AY141" s="235"/>
      <c r="AZ141" s="1511"/>
      <c r="BA141" s="1488"/>
      <c r="BB141" s="204"/>
      <c r="BC141" s="1511"/>
      <c r="BD141" s="1488"/>
      <c r="BE141" s="204"/>
      <c r="BF141" s="1511"/>
      <c r="BG141" s="1488"/>
      <c r="BH141" s="204"/>
      <c r="BI141" s="1511"/>
      <c r="BJ141" s="1488"/>
      <c r="BK141" s="202"/>
      <c r="BL141" s="1507"/>
      <c r="BN141" s="1511"/>
      <c r="BO141" s="1488"/>
      <c r="BP141" s="204"/>
      <c r="BQ141" s="1511"/>
      <c r="BR141" s="1488"/>
      <c r="BS141" s="204"/>
      <c r="BT141" s="1511"/>
      <c r="BU141" s="1488"/>
      <c r="BV141" s="204"/>
      <c r="BW141" s="1511"/>
      <c r="BX141" s="1488"/>
      <c r="BY141" s="202"/>
      <c r="BZ141" s="1507"/>
      <c r="CB141" s="1511"/>
      <c r="CC141" s="1488"/>
      <c r="CD141" s="204"/>
      <c r="CE141" s="1511"/>
      <c r="CF141" s="1488"/>
      <c r="CG141" s="204"/>
      <c r="CH141" s="1511"/>
      <c r="CI141" s="1488"/>
      <c r="CJ141" s="204"/>
      <c r="CK141" s="1511"/>
      <c r="CL141" s="1488"/>
      <c r="CM141" s="202"/>
      <c r="CN141" s="1507"/>
    </row>
    <row r="142" spans="2:92" ht="132.75" customHeight="1" x14ac:dyDescent="0.25">
      <c r="B142" s="1589"/>
      <c r="C142" s="1471"/>
      <c r="D142" s="1462"/>
      <c r="E142" s="1545"/>
      <c r="F142" s="1544"/>
      <c r="G142" s="308" t="str">
        <f>+'Plan de Accion Proyectos estrat'!K19</f>
        <v>Comunicaciones de ordenación del gasto resultantes del proceso de pagos de los paquetes de reclamaciones cuyo trámite de auditoria haya culminado</v>
      </c>
      <c r="H142" s="224"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42" s="236"/>
      <c r="J142" s="303">
        <f>+'Plan de Accion Proyectos estrat'!AG19</f>
        <v>0.25</v>
      </c>
      <c r="K142" s="476">
        <f>+'Plan de Accion Proyectos estrat'!AI19</f>
        <v>1</v>
      </c>
      <c r="L142" s="476">
        <f t="shared" si="108"/>
        <v>1</v>
      </c>
      <c r="M142" s="476">
        <f>+'Plan de Accion Proyectos estrat'!AK19</f>
        <v>0.25</v>
      </c>
      <c r="N142" s="476">
        <f t="shared" si="66"/>
        <v>0.25</v>
      </c>
      <c r="O142" s="478">
        <f t="shared" si="98"/>
        <v>0.25</v>
      </c>
      <c r="P142" s="213"/>
      <c r="Q142" s="303">
        <f>+'Plan de Accion Proyectos estrat'!AQ19</f>
        <v>0.25</v>
      </c>
      <c r="R142" s="304">
        <f>+'Plan de Accion Proyectos estrat'!AS19</f>
        <v>1</v>
      </c>
      <c r="S142" s="212">
        <f t="shared" si="109"/>
        <v>1</v>
      </c>
      <c r="T142" s="304">
        <f>+'Plan de Accion Proyectos estrat'!AU19</f>
        <v>0.5</v>
      </c>
      <c r="U142" s="304">
        <f t="shared" si="110"/>
        <v>0.5</v>
      </c>
      <c r="V142" s="211">
        <f t="shared" si="111"/>
        <v>0.5</v>
      </c>
      <c r="W142" s="213"/>
      <c r="X142" s="303">
        <f>+'Plan de Accion Proyectos estrat'!BA19</f>
        <v>0.25</v>
      </c>
      <c r="Y142" s="304">
        <f>+'Plan de Accion Proyectos estrat'!BC19</f>
        <v>1</v>
      </c>
      <c r="Z142" s="212">
        <f t="shared" si="112"/>
        <v>1</v>
      </c>
      <c r="AA142" s="217">
        <f>+'Plan de Accion Proyectos estrat'!BE19</f>
        <v>0.75</v>
      </c>
      <c r="AB142" s="217">
        <f t="shared" si="113"/>
        <v>0.75</v>
      </c>
      <c r="AC142" s="216">
        <f t="shared" si="114"/>
        <v>0.75</v>
      </c>
      <c r="AD142" s="213"/>
      <c r="AE142" s="303">
        <f>+'Plan de Accion Proyectos estrat'!BK19</f>
        <v>0.25</v>
      </c>
      <c r="AF142" s="304">
        <f>+'Plan de Accion Proyectos estrat'!BM19</f>
        <v>1</v>
      </c>
      <c r="AG142" s="212">
        <f t="shared" si="115"/>
        <v>1</v>
      </c>
      <c r="AH142" s="304">
        <f>+'Plan de Accion Proyectos estrat'!BO19</f>
        <v>1</v>
      </c>
      <c r="AI142" s="211">
        <f t="shared" si="116"/>
        <v>1</v>
      </c>
      <c r="AJ142" s="1482"/>
      <c r="AK142" s="1167"/>
      <c r="AL142" s="1511"/>
      <c r="AM142" s="1488"/>
      <c r="AN142" s="204"/>
      <c r="AO142" s="1511"/>
      <c r="AP142" s="1488"/>
      <c r="AQ142" s="204"/>
      <c r="AR142" s="1511"/>
      <c r="AS142" s="1488"/>
      <c r="AT142" s="204"/>
      <c r="AU142" s="1511"/>
      <c r="AV142" s="1488"/>
      <c r="AW142" s="202"/>
      <c r="AX142" s="1507"/>
      <c r="AY142" s="235"/>
      <c r="AZ142" s="1511"/>
      <c r="BA142" s="1488"/>
      <c r="BB142" s="204"/>
      <c r="BC142" s="1511"/>
      <c r="BD142" s="1488"/>
      <c r="BE142" s="204"/>
      <c r="BF142" s="1511"/>
      <c r="BG142" s="1488"/>
      <c r="BH142" s="204"/>
      <c r="BI142" s="1511"/>
      <c r="BJ142" s="1488"/>
      <c r="BK142" s="202"/>
      <c r="BL142" s="1507"/>
      <c r="BN142" s="1511"/>
      <c r="BO142" s="1488"/>
      <c r="BP142" s="204"/>
      <c r="BQ142" s="1511"/>
      <c r="BR142" s="1488"/>
      <c r="BS142" s="204"/>
      <c r="BT142" s="1511"/>
      <c r="BU142" s="1488"/>
      <c r="BV142" s="204"/>
      <c r="BW142" s="1511"/>
      <c r="BX142" s="1488"/>
      <c r="BY142" s="202"/>
      <c r="BZ142" s="1507"/>
      <c r="CB142" s="1511"/>
      <c r="CC142" s="1488"/>
      <c r="CD142" s="204"/>
      <c r="CE142" s="1511"/>
      <c r="CF142" s="1488"/>
      <c r="CG142" s="204"/>
      <c r="CH142" s="1511"/>
      <c r="CI142" s="1488"/>
      <c r="CJ142" s="204"/>
      <c r="CK142" s="1511"/>
      <c r="CL142" s="1488"/>
      <c r="CM142" s="202"/>
      <c r="CN142" s="1507"/>
    </row>
    <row r="143" spans="2:92" ht="57" customHeight="1" x14ac:dyDescent="0.25">
      <c r="B143" s="1589"/>
      <c r="C143" s="1460"/>
      <c r="D143" s="1472"/>
      <c r="E143" s="1545"/>
      <c r="F143" s="1544"/>
      <c r="G143" s="308" t="str">
        <f>+'Plan de Accion Proyectos estrat'!K20</f>
        <v>Correos electrónicos de solicitud de publicación del giro por reclamaciones</v>
      </c>
      <c r="H143" s="224" t="str">
        <f>+'Plan de Accion Proyectos estrat'!X20</f>
        <v># Solicitudes de publicación de giros por ordenación de paquetes de reclamaciones / # ordenaciones de giros de paquetes por reclamaciones</v>
      </c>
      <c r="I143" s="236"/>
      <c r="J143" s="303">
        <f>+'Plan de Accion Proyectos estrat'!AG20</f>
        <v>0.25</v>
      </c>
      <c r="K143" s="476">
        <f>+'Plan de Accion Proyectos estrat'!AI20</f>
        <v>1</v>
      </c>
      <c r="L143" s="476">
        <f t="shared" si="108"/>
        <v>1</v>
      </c>
      <c r="M143" s="476">
        <f>+'Plan de Accion Proyectos estrat'!AK20</f>
        <v>0.25</v>
      </c>
      <c r="N143" s="476">
        <f t="shared" si="66"/>
        <v>0.25</v>
      </c>
      <c r="O143" s="478">
        <f t="shared" si="98"/>
        <v>0.25</v>
      </c>
      <c r="P143" s="213"/>
      <c r="Q143" s="303">
        <f>+'Plan de Accion Proyectos estrat'!AQ20</f>
        <v>0.25</v>
      </c>
      <c r="R143" s="304">
        <f>+'Plan de Accion Proyectos estrat'!AS20</f>
        <v>1</v>
      </c>
      <c r="S143" s="212">
        <f t="shared" si="109"/>
        <v>1</v>
      </c>
      <c r="T143" s="304">
        <f>+'Plan de Accion Proyectos estrat'!AU20</f>
        <v>0.5</v>
      </c>
      <c r="U143" s="304">
        <f t="shared" si="110"/>
        <v>0.5</v>
      </c>
      <c r="V143" s="211">
        <f t="shared" si="111"/>
        <v>0.5</v>
      </c>
      <c r="W143" s="213"/>
      <c r="X143" s="303">
        <f>+'Plan de Accion Proyectos estrat'!BA20</f>
        <v>0.25</v>
      </c>
      <c r="Y143" s="304">
        <f>+'Plan de Accion Proyectos estrat'!BC20</f>
        <v>1</v>
      </c>
      <c r="Z143" s="212">
        <f t="shared" si="112"/>
        <v>1</v>
      </c>
      <c r="AA143" s="217">
        <f>+'Plan de Accion Proyectos estrat'!BE20</f>
        <v>0.75</v>
      </c>
      <c r="AB143" s="217">
        <f t="shared" si="113"/>
        <v>0.75</v>
      </c>
      <c r="AC143" s="216">
        <f t="shared" si="114"/>
        <v>0.75</v>
      </c>
      <c r="AD143" s="213"/>
      <c r="AE143" s="303">
        <f>+'Plan de Accion Proyectos estrat'!BK20</f>
        <v>0.25</v>
      </c>
      <c r="AF143" s="304">
        <f>+'Plan de Accion Proyectos estrat'!BM20</f>
        <v>1</v>
      </c>
      <c r="AG143" s="212">
        <f t="shared" si="115"/>
        <v>1</v>
      </c>
      <c r="AH143" s="304">
        <f>+'Plan de Accion Proyectos estrat'!BO20</f>
        <v>1</v>
      </c>
      <c r="AI143" s="211">
        <f t="shared" si="116"/>
        <v>1</v>
      </c>
      <c r="AJ143" s="1482"/>
      <c r="AK143" s="1167"/>
      <c r="AL143" s="1511"/>
      <c r="AM143" s="1488"/>
      <c r="AN143" s="204"/>
      <c r="AO143" s="1511"/>
      <c r="AP143" s="1488"/>
      <c r="AQ143" s="204"/>
      <c r="AR143" s="1511"/>
      <c r="AS143" s="1488"/>
      <c r="AT143" s="204"/>
      <c r="AU143" s="1511"/>
      <c r="AV143" s="1488"/>
      <c r="AW143" s="202"/>
      <c r="AX143" s="1507"/>
      <c r="AY143" s="235"/>
      <c r="AZ143" s="1511"/>
      <c r="BA143" s="1488"/>
      <c r="BB143" s="204"/>
      <c r="BC143" s="1511"/>
      <c r="BD143" s="1488"/>
      <c r="BE143" s="204"/>
      <c r="BF143" s="1511"/>
      <c r="BG143" s="1488"/>
      <c r="BH143" s="204"/>
      <c r="BI143" s="1511"/>
      <c r="BJ143" s="1488"/>
      <c r="BK143" s="202"/>
      <c r="BL143" s="1507"/>
      <c r="BN143" s="1511"/>
      <c r="BO143" s="1488"/>
      <c r="BP143" s="204"/>
      <c r="BQ143" s="1511"/>
      <c r="BR143" s="1488"/>
      <c r="BS143" s="204"/>
      <c r="BT143" s="1511"/>
      <c r="BU143" s="1488"/>
      <c r="BV143" s="204"/>
      <c r="BW143" s="1511"/>
      <c r="BX143" s="1488"/>
      <c r="BY143" s="202"/>
      <c r="BZ143" s="1507"/>
      <c r="CB143" s="1511"/>
      <c r="CC143" s="1488"/>
      <c r="CD143" s="204"/>
      <c r="CE143" s="1511"/>
      <c r="CF143" s="1488"/>
      <c r="CG143" s="204"/>
      <c r="CH143" s="1511"/>
      <c r="CI143" s="1488"/>
      <c r="CJ143" s="204"/>
      <c r="CK143" s="1511"/>
      <c r="CL143" s="1488"/>
      <c r="CM143" s="202"/>
      <c r="CN143" s="1507"/>
    </row>
    <row r="144" spans="2:92" ht="71.25" customHeight="1" x14ac:dyDescent="0.25">
      <c r="B144" s="1589"/>
      <c r="C144" s="1461" t="s">
        <v>1168</v>
      </c>
      <c r="D144" s="1461" t="s">
        <v>1170</v>
      </c>
      <c r="E144" s="1439" t="s">
        <v>1169</v>
      </c>
      <c r="F144" s="1554" t="s">
        <v>330</v>
      </c>
      <c r="G144" s="308" t="str">
        <f>+'Plan de Accion Proyectos estrat'!K21</f>
        <v xml:space="preserve">Estadísticas de registros de las auditorias preventivas por entidad con errores </v>
      </c>
      <c r="H144" s="224" t="str">
        <f>+'Plan de Accion Proyectos estrat'!X21</f>
        <v xml:space="preserve"># Registros corregidos en la BDUA / # Registros notificados en auditorias preventivas </v>
      </c>
      <c r="I144" s="236"/>
      <c r="J144" s="529">
        <f>+'Plan de Accion Proyectos estrat'!AG21</f>
        <v>2.5000705854830534E-2</v>
      </c>
      <c r="K144" s="530">
        <f>+'Plan de Accion Proyectos estrat'!AI21</f>
        <v>1.0000282341932214</v>
      </c>
      <c r="L144" s="476">
        <f t="shared" si="108"/>
        <v>1</v>
      </c>
      <c r="M144" s="476">
        <f>+'Plan de Accion Proyectos estrat'!AK21</f>
        <v>0.25000705854830535</v>
      </c>
      <c r="N144" s="476">
        <f t="shared" si="66"/>
        <v>0.25000705854830535</v>
      </c>
      <c r="O144" s="478">
        <f t="shared" si="98"/>
        <v>0.25000705854830535</v>
      </c>
      <c r="P144" s="213"/>
      <c r="Q144" s="303">
        <f>+'Plan de Accion Proyectos estrat'!AQ21</f>
        <v>2.5000536590900031E-2</v>
      </c>
      <c r="R144" s="304">
        <f>+'Plan de Accion Proyectos estrat'!AS21</f>
        <v>1.0000214636360012</v>
      </c>
      <c r="S144" s="212">
        <f t="shared" si="109"/>
        <v>1</v>
      </c>
      <c r="T144" s="304">
        <f>+'Plan de Accion Proyectos estrat'!AU21</f>
        <v>0.50001242445730565</v>
      </c>
      <c r="U144" s="304">
        <f t="shared" si="110"/>
        <v>0.50001242445730565</v>
      </c>
      <c r="V144" s="211">
        <f t="shared" si="111"/>
        <v>0.50001242445730565</v>
      </c>
      <c r="W144" s="213"/>
      <c r="X144" s="303">
        <f>+'Plan de Accion Proyectos estrat'!BA21</f>
        <v>2.5000000000000001E-2</v>
      </c>
      <c r="Y144" s="304">
        <f>+'Plan de Accion Proyectos estrat'!BC21</f>
        <v>1</v>
      </c>
      <c r="Z144" s="212">
        <f t="shared" si="112"/>
        <v>1</v>
      </c>
      <c r="AA144" s="217">
        <f>+'Plan de Accion Proyectos estrat'!BE21</f>
        <v>0.75001242445730554</v>
      </c>
      <c r="AB144" s="217">
        <f t="shared" si="113"/>
        <v>0.75001242445730554</v>
      </c>
      <c r="AC144" s="216">
        <f t="shared" si="114"/>
        <v>0.75001242445730554</v>
      </c>
      <c r="AD144" s="213"/>
      <c r="AE144" s="303">
        <f>+'Plan de Accion Proyectos estrat'!BK21</f>
        <v>2.5000000000000001E-2</v>
      </c>
      <c r="AF144" s="304">
        <f>+'Plan de Accion Proyectos estrat'!BM21</f>
        <v>1</v>
      </c>
      <c r="AG144" s="212">
        <f t="shared" si="115"/>
        <v>1</v>
      </c>
      <c r="AH144" s="530">
        <f>+'Plan de Accion Proyectos estrat'!BO21</f>
        <v>1.0000124244573054</v>
      </c>
      <c r="AI144" s="211">
        <f t="shared" si="116"/>
        <v>1</v>
      </c>
      <c r="AJ144" s="1482"/>
      <c r="AK144" s="1167"/>
      <c r="AL144" s="1511"/>
      <c r="AM144" s="1488"/>
      <c r="AN144" s="204"/>
      <c r="AO144" s="1511"/>
      <c r="AP144" s="1488"/>
      <c r="AQ144" s="204"/>
      <c r="AR144" s="1511"/>
      <c r="AS144" s="1488"/>
      <c r="AT144" s="204"/>
      <c r="AU144" s="1511"/>
      <c r="AV144" s="1488"/>
      <c r="AW144" s="202"/>
      <c r="AX144" s="1507"/>
      <c r="AY144" s="235"/>
      <c r="AZ144" s="1511"/>
      <c r="BA144" s="1488"/>
      <c r="BB144" s="204"/>
      <c r="BC144" s="1511"/>
      <c r="BD144" s="1488"/>
      <c r="BE144" s="204"/>
      <c r="BF144" s="1511"/>
      <c r="BG144" s="1488"/>
      <c r="BH144" s="204"/>
      <c r="BI144" s="1511"/>
      <c r="BJ144" s="1488"/>
      <c r="BK144" s="202"/>
      <c r="BL144" s="1507"/>
      <c r="BN144" s="1511"/>
      <c r="BO144" s="1488"/>
      <c r="BP144" s="204"/>
      <c r="BQ144" s="1511"/>
      <c r="BR144" s="1488"/>
      <c r="BS144" s="204"/>
      <c r="BT144" s="1511"/>
      <c r="BU144" s="1488"/>
      <c r="BV144" s="204"/>
      <c r="BW144" s="1511"/>
      <c r="BX144" s="1488"/>
      <c r="BY144" s="202"/>
      <c r="BZ144" s="1507"/>
      <c r="CB144" s="1511"/>
      <c r="CC144" s="1488"/>
      <c r="CD144" s="204"/>
      <c r="CE144" s="1511"/>
      <c r="CF144" s="1488"/>
      <c r="CG144" s="204"/>
      <c r="CH144" s="1511"/>
      <c r="CI144" s="1488"/>
      <c r="CJ144" s="204"/>
      <c r="CK144" s="1511"/>
      <c r="CL144" s="1488"/>
      <c r="CM144" s="202"/>
      <c r="CN144" s="1507"/>
    </row>
    <row r="145" spans="2:94" ht="42.75" customHeight="1" x14ac:dyDescent="0.25">
      <c r="B145" s="1589"/>
      <c r="C145" s="1462"/>
      <c r="D145" s="1462"/>
      <c r="E145" s="1440"/>
      <c r="F145" s="1554"/>
      <c r="G145" s="308" t="str">
        <f>+'Plan de Accion Proyectos estrat'!K22</f>
        <v>Informes de auditorias correctivas según resolución 2199 de 2013 y 4894 de 2015</v>
      </c>
      <c r="H145" s="1542" t="str">
        <f>+'Plan de Accion Proyectos estrat'!X22</f>
        <v># de registro depurados por ADRES + # Registros correctos / # Número total de registros notificados en auditorias correctivas</v>
      </c>
      <c r="I145" s="236"/>
      <c r="J145" s="1490">
        <f>+'Plan de Accion Proyectos estrat'!AG22</f>
        <v>0.25</v>
      </c>
      <c r="K145" s="1447">
        <f>+'Plan de Accion Proyectos estrat'!AI22</f>
        <v>1</v>
      </c>
      <c r="L145" s="1447">
        <f t="shared" si="108"/>
        <v>1</v>
      </c>
      <c r="M145" s="1447">
        <f>+'Plan de Accion Proyectos estrat'!AK22</f>
        <v>0.25</v>
      </c>
      <c r="N145" s="1447">
        <f>IF(M145&gt;100%,100%,M145)</f>
        <v>0.25</v>
      </c>
      <c r="O145" s="1450">
        <f t="shared" si="98"/>
        <v>0.25</v>
      </c>
      <c r="P145" s="213"/>
      <c r="Q145" s="1490">
        <f>+'Plan de Accion Proyectos estrat'!AQ22</f>
        <v>0.25</v>
      </c>
      <c r="R145" s="1484">
        <f>+'Plan de Accion Proyectos estrat'!AS22</f>
        <v>1</v>
      </c>
      <c r="S145" s="1484">
        <f t="shared" si="109"/>
        <v>1</v>
      </c>
      <c r="T145" s="1484">
        <f>+'Plan de Accion Proyectos estrat'!AU22</f>
        <v>0.5</v>
      </c>
      <c r="U145" s="1484">
        <f t="shared" si="110"/>
        <v>0.5</v>
      </c>
      <c r="V145" s="1486">
        <f t="shared" si="111"/>
        <v>0.5</v>
      </c>
      <c r="W145" s="213"/>
      <c r="X145" s="1490">
        <f>+'Plan de Accion Proyectos estrat'!BA22</f>
        <v>0.25</v>
      </c>
      <c r="Y145" s="1484">
        <f>+'Plan de Accion Proyectos estrat'!BC22</f>
        <v>1</v>
      </c>
      <c r="Z145" s="1484">
        <f t="shared" si="112"/>
        <v>1</v>
      </c>
      <c r="AA145" s="1517">
        <f>+'Plan de Accion Proyectos estrat'!BE22</f>
        <v>0.75</v>
      </c>
      <c r="AB145" s="1517">
        <f t="shared" si="113"/>
        <v>0.75</v>
      </c>
      <c r="AC145" s="1519">
        <f t="shared" si="114"/>
        <v>0.75</v>
      </c>
      <c r="AD145" s="213"/>
      <c r="AE145" s="1490">
        <f>+'Plan de Accion Proyectos estrat'!BK22</f>
        <v>0.25</v>
      </c>
      <c r="AF145" s="1484">
        <f>+'Plan de Accion Proyectos estrat'!BM22</f>
        <v>1</v>
      </c>
      <c r="AG145" s="1484">
        <f t="shared" si="115"/>
        <v>1</v>
      </c>
      <c r="AH145" s="1484">
        <f>+'Plan de Accion Proyectos estrat'!BO22</f>
        <v>1</v>
      </c>
      <c r="AI145" s="1486">
        <f t="shared" si="116"/>
        <v>1</v>
      </c>
      <c r="AJ145" s="1482"/>
      <c r="AK145" s="1167"/>
      <c r="AL145" s="1511"/>
      <c r="AM145" s="1488"/>
      <c r="AN145" s="204"/>
      <c r="AO145" s="1511"/>
      <c r="AP145" s="1488"/>
      <c r="AQ145" s="204"/>
      <c r="AR145" s="1511"/>
      <c r="AS145" s="1488"/>
      <c r="AT145" s="204"/>
      <c r="AU145" s="1511"/>
      <c r="AV145" s="1488"/>
      <c r="AW145" s="202"/>
      <c r="AX145" s="1507"/>
      <c r="AY145" s="235"/>
      <c r="AZ145" s="1511"/>
      <c r="BA145" s="1488"/>
      <c r="BB145" s="204"/>
      <c r="BC145" s="1511"/>
      <c r="BD145" s="1488"/>
      <c r="BE145" s="204"/>
      <c r="BF145" s="1511"/>
      <c r="BG145" s="1488"/>
      <c r="BH145" s="204"/>
      <c r="BI145" s="1511"/>
      <c r="BJ145" s="1488"/>
      <c r="BK145" s="202"/>
      <c r="BL145" s="1507"/>
      <c r="BN145" s="1511"/>
      <c r="BO145" s="1488"/>
      <c r="BP145" s="204"/>
      <c r="BQ145" s="1511"/>
      <c r="BR145" s="1488"/>
      <c r="BS145" s="204"/>
      <c r="BT145" s="1511"/>
      <c r="BU145" s="1488"/>
      <c r="BV145" s="204"/>
      <c r="BW145" s="1511"/>
      <c r="BX145" s="1488"/>
      <c r="BY145" s="202"/>
      <c r="BZ145" s="1507"/>
      <c r="CB145" s="1511"/>
      <c r="CC145" s="1488"/>
      <c r="CD145" s="204"/>
      <c r="CE145" s="1511"/>
      <c r="CF145" s="1488"/>
      <c r="CG145" s="204"/>
      <c r="CH145" s="1511"/>
      <c r="CI145" s="1488"/>
      <c r="CJ145" s="204"/>
      <c r="CK145" s="1511"/>
      <c r="CL145" s="1488"/>
      <c r="CM145" s="202"/>
      <c r="CN145" s="1507"/>
    </row>
    <row r="146" spans="2:94" ht="87.75" customHeight="1" x14ac:dyDescent="0.25">
      <c r="B146" s="1589"/>
      <c r="C146" s="1462"/>
      <c r="D146" s="1462"/>
      <c r="E146" s="1440"/>
      <c r="F146" s="1554"/>
      <c r="G146" s="308" t="str">
        <f>+'Plan de Accion Proyectos estrat'!K23</f>
        <v>Depuración de registros de BDUA de acuerdo con solicitudes del MSPS, según resolución 2199 de 2013 y 4894 de 2015</v>
      </c>
      <c r="H146" s="1543"/>
      <c r="I146" s="236"/>
      <c r="J146" s="1492"/>
      <c r="K146" s="1449"/>
      <c r="L146" s="1449"/>
      <c r="M146" s="1449"/>
      <c r="N146" s="1449"/>
      <c r="O146" s="1452"/>
      <c r="P146" s="213"/>
      <c r="Q146" s="1492"/>
      <c r="R146" s="1485"/>
      <c r="S146" s="1485"/>
      <c r="T146" s="1485"/>
      <c r="U146" s="1485"/>
      <c r="V146" s="1487"/>
      <c r="W146" s="213"/>
      <c r="X146" s="1492"/>
      <c r="Y146" s="1485"/>
      <c r="Z146" s="1485"/>
      <c r="AA146" s="1518"/>
      <c r="AB146" s="1518"/>
      <c r="AC146" s="1520"/>
      <c r="AD146" s="213"/>
      <c r="AE146" s="1492"/>
      <c r="AF146" s="1485"/>
      <c r="AG146" s="1485"/>
      <c r="AH146" s="1485"/>
      <c r="AI146" s="1487"/>
      <c r="AJ146" s="1482"/>
      <c r="AK146" s="1167"/>
      <c r="AL146" s="1511"/>
      <c r="AM146" s="1488"/>
      <c r="AN146" s="204"/>
      <c r="AO146" s="1511"/>
      <c r="AP146" s="1488"/>
      <c r="AQ146" s="204"/>
      <c r="AR146" s="1511"/>
      <c r="AS146" s="1488"/>
      <c r="AT146" s="204"/>
      <c r="AU146" s="1511"/>
      <c r="AV146" s="1488"/>
      <c r="AW146" s="202"/>
      <c r="AX146" s="1507"/>
      <c r="AY146" s="235"/>
      <c r="AZ146" s="1511"/>
      <c r="BA146" s="1488"/>
      <c r="BB146" s="204"/>
      <c r="BC146" s="1511"/>
      <c r="BD146" s="1488"/>
      <c r="BE146" s="204"/>
      <c r="BF146" s="1511"/>
      <c r="BG146" s="1488"/>
      <c r="BH146" s="204"/>
      <c r="BI146" s="1511"/>
      <c r="BJ146" s="1488"/>
      <c r="BK146" s="202"/>
      <c r="BL146" s="1507"/>
      <c r="BN146" s="1511"/>
      <c r="BO146" s="1488"/>
      <c r="BP146" s="204"/>
      <c r="BQ146" s="1511"/>
      <c r="BR146" s="1488"/>
      <c r="BS146" s="204"/>
      <c r="BT146" s="1511"/>
      <c r="BU146" s="1488"/>
      <c r="BV146" s="204"/>
      <c r="BW146" s="1511"/>
      <c r="BX146" s="1488"/>
      <c r="BY146" s="202"/>
      <c r="BZ146" s="1507"/>
      <c r="CB146" s="1511"/>
      <c r="CC146" s="1488"/>
      <c r="CD146" s="204"/>
      <c r="CE146" s="1511"/>
      <c r="CF146" s="1488"/>
      <c r="CG146" s="204"/>
      <c r="CH146" s="1511"/>
      <c r="CI146" s="1488"/>
      <c r="CJ146" s="204"/>
      <c r="CK146" s="1511"/>
      <c r="CL146" s="1488"/>
      <c r="CM146" s="202"/>
      <c r="CN146" s="1507"/>
    </row>
    <row r="147" spans="2:94" ht="114" customHeight="1" x14ac:dyDescent="0.25">
      <c r="B147" s="1589"/>
      <c r="C147" s="1462"/>
      <c r="D147" s="1462"/>
      <c r="E147" s="1440"/>
      <c r="F147" s="1554"/>
      <c r="G147" s="308" t="str">
        <f>+'Plan de Accion Proyectos estrat'!K24</f>
        <v>Apoyo técnico para respuestas a PQRSD relacionadas con BDUA</v>
      </c>
      <c r="H147" s="224" t="str">
        <f>+'Plan de Accion Proyectos estrat'!X24</f>
        <v># PQRSD BDUA atendidas en términos de ley en el trimestre  / #PQRSD BDUA recibidas con fecha máxima de respuesta en el trimestre</v>
      </c>
      <c r="I147" s="236"/>
      <c r="J147" s="303">
        <f>+'Plan de Accion Proyectos estrat'!AG24</f>
        <v>0.24805295950155765</v>
      </c>
      <c r="K147" s="476">
        <f>+'Plan de Accion Proyectos estrat'!AI24</f>
        <v>0.99221183800623058</v>
      </c>
      <c r="L147" s="476">
        <f t="shared" si="108"/>
        <v>0.99221183800623058</v>
      </c>
      <c r="M147" s="476">
        <f>+'Plan de Accion Proyectos estrat'!AK24</f>
        <v>0.24805295950155765</v>
      </c>
      <c r="N147" s="476">
        <f t="shared" ref="N147:N239" si="117">IF(M147&gt;100%,100%,M147)</f>
        <v>0.24805295950155765</v>
      </c>
      <c r="O147" s="478">
        <f t="shared" ref="O147:O161" si="118">+N147</f>
        <v>0.24805295950155765</v>
      </c>
      <c r="P147" s="213"/>
      <c r="Q147" s="303">
        <f>+'Plan de Accion Proyectos estrat'!AQ24</f>
        <v>0.24990664675130694</v>
      </c>
      <c r="R147" s="304">
        <f>+'Plan de Accion Proyectos estrat'!AS24</f>
        <v>0.99962658700522777</v>
      </c>
      <c r="S147" s="212">
        <f t="shared" si="109"/>
        <v>0.99962658700522777</v>
      </c>
      <c r="T147" s="304">
        <f>+'Plan de Accion Proyectos estrat'!AU24</f>
        <v>0.49795960625286462</v>
      </c>
      <c r="U147" s="304">
        <f t="shared" si="110"/>
        <v>0.49795960625286462</v>
      </c>
      <c r="V147" s="211">
        <f t="shared" si="111"/>
        <v>0.49795960625286462</v>
      </c>
      <c r="W147" s="213"/>
      <c r="X147" s="303">
        <f>+'Plan de Accion Proyectos estrat'!BA24</f>
        <v>0.23512879192837099</v>
      </c>
      <c r="Y147" s="304">
        <f>+'Plan de Accion Proyectos estrat'!BC24</f>
        <v>0.94051516771348398</v>
      </c>
      <c r="Z147" s="212">
        <f t="shared" si="112"/>
        <v>0.94051516771348398</v>
      </c>
      <c r="AA147" s="217">
        <f>+'Plan de Accion Proyectos estrat'!BE24</f>
        <v>0.73308839818123561</v>
      </c>
      <c r="AB147" s="217">
        <f t="shared" si="113"/>
        <v>0.73308839818123561</v>
      </c>
      <c r="AC147" s="216">
        <f t="shared" si="114"/>
        <v>0.73308839818123561</v>
      </c>
      <c r="AD147" s="213"/>
      <c r="AE147" s="303">
        <f>+'Plan de Accion Proyectos estrat'!BK24</f>
        <v>0.21385130377432943</v>
      </c>
      <c r="AF147" s="304">
        <f>+'Plan de Accion Proyectos estrat'!BM24</f>
        <v>0.85540521509731771</v>
      </c>
      <c r="AG147" s="212">
        <f t="shared" si="115"/>
        <v>0.85540521509731771</v>
      </c>
      <c r="AH147" s="304">
        <f>+'Plan de Accion Proyectos estrat'!BO24</f>
        <v>0.94693970195556498</v>
      </c>
      <c r="AI147" s="211">
        <f t="shared" si="116"/>
        <v>0.94693970195556498</v>
      </c>
      <c r="AJ147" s="1482"/>
      <c r="AK147" s="1167"/>
      <c r="AL147" s="1511"/>
      <c r="AM147" s="1488"/>
      <c r="AN147" s="204"/>
      <c r="AO147" s="1511"/>
      <c r="AP147" s="1488"/>
      <c r="AQ147" s="204"/>
      <c r="AR147" s="1511"/>
      <c r="AS147" s="1488"/>
      <c r="AT147" s="204"/>
      <c r="AU147" s="1511"/>
      <c r="AV147" s="1488"/>
      <c r="AW147" s="202"/>
      <c r="AX147" s="1507"/>
      <c r="AY147" s="235"/>
      <c r="AZ147" s="1511"/>
      <c r="BA147" s="1488"/>
      <c r="BB147" s="204"/>
      <c r="BC147" s="1511"/>
      <c r="BD147" s="1488"/>
      <c r="BE147" s="204"/>
      <c r="BF147" s="1511"/>
      <c r="BG147" s="1488"/>
      <c r="BH147" s="204"/>
      <c r="BI147" s="1511"/>
      <c r="BJ147" s="1488"/>
      <c r="BK147" s="202"/>
      <c r="BL147" s="1507"/>
      <c r="BN147" s="1511"/>
      <c r="BO147" s="1488"/>
      <c r="BP147" s="204"/>
      <c r="BQ147" s="1511"/>
      <c r="BR147" s="1488"/>
      <c r="BS147" s="204"/>
      <c r="BT147" s="1511"/>
      <c r="BU147" s="1488"/>
      <c r="BV147" s="204"/>
      <c r="BW147" s="1511"/>
      <c r="BX147" s="1488"/>
      <c r="BY147" s="202"/>
      <c r="BZ147" s="1507"/>
      <c r="CB147" s="1511"/>
      <c r="CC147" s="1488"/>
      <c r="CD147" s="204"/>
      <c r="CE147" s="1511"/>
      <c r="CF147" s="1488"/>
      <c r="CG147" s="204"/>
      <c r="CH147" s="1511"/>
      <c r="CI147" s="1488"/>
      <c r="CJ147" s="204"/>
      <c r="CK147" s="1511"/>
      <c r="CL147" s="1488"/>
      <c r="CM147" s="202"/>
      <c r="CN147" s="1507"/>
      <c r="CP147" s="219"/>
    </row>
    <row r="148" spans="2:94" ht="71.25" customHeight="1" x14ac:dyDescent="0.25">
      <c r="B148" s="1589"/>
      <c r="C148" s="1478" t="s">
        <v>344</v>
      </c>
      <c r="D148" s="1461" t="s">
        <v>340</v>
      </c>
      <c r="E148" s="1439" t="s">
        <v>12</v>
      </c>
      <c r="F148" s="1442" t="s">
        <v>330</v>
      </c>
      <c r="G148" s="308" t="str">
        <f>+'Plan de Accion Proyectos estrat'!K26</f>
        <v>Proceso de saneamiento de aportes ejecutado</v>
      </c>
      <c r="H148" s="224" t="str">
        <f>+'Plan de Accion Proyectos estrat'!X26</f>
        <v># Procesos de saneamiento de aportes ejecutados / # procesos de saneamiento de aportes programados en el cronograma</v>
      </c>
      <c r="I148" s="236"/>
      <c r="J148" s="303">
        <f>+'Plan de Accion Proyectos estrat'!AG26</f>
        <v>0.25</v>
      </c>
      <c r="K148" s="476">
        <f>+'Plan de Accion Proyectos estrat'!AI26</f>
        <v>1</v>
      </c>
      <c r="L148" s="476">
        <f t="shared" ref="L148:L161" si="119">IF(K148&gt;100%,100%,K148)</f>
        <v>1</v>
      </c>
      <c r="M148" s="476">
        <f>+'Plan de Accion Proyectos estrat'!AK26</f>
        <v>0.25</v>
      </c>
      <c r="N148" s="476">
        <f t="shared" si="117"/>
        <v>0.25</v>
      </c>
      <c r="O148" s="478">
        <f t="shared" si="118"/>
        <v>0.25</v>
      </c>
      <c r="P148" s="213"/>
      <c r="Q148" s="303">
        <f>+'Plan de Accion Proyectos estrat'!AQ26</f>
        <v>0.25</v>
      </c>
      <c r="R148" s="304">
        <f>+'Plan de Accion Proyectos estrat'!AS26</f>
        <v>1</v>
      </c>
      <c r="S148" s="212">
        <f t="shared" ref="S148:S158" si="120">IF(R148&gt;100%,100%,R148)</f>
        <v>1</v>
      </c>
      <c r="T148" s="304">
        <f>+'Plan de Accion Proyectos estrat'!AU26</f>
        <v>0.5</v>
      </c>
      <c r="U148" s="304">
        <f t="shared" ref="U148:U158" si="121">IF(T148&gt;100%,100%,T148)</f>
        <v>0.5</v>
      </c>
      <c r="V148" s="211">
        <f t="shared" si="111"/>
        <v>0.5</v>
      </c>
      <c r="W148" s="213"/>
      <c r="X148" s="303">
        <f>+'Plan de Accion Proyectos estrat'!BA26</f>
        <v>0.25</v>
      </c>
      <c r="Y148" s="304">
        <f>+'Plan de Accion Proyectos estrat'!BC26</f>
        <v>1</v>
      </c>
      <c r="Z148" s="212">
        <f t="shared" si="112"/>
        <v>1</v>
      </c>
      <c r="AA148" s="217">
        <f>+'Plan de Accion Proyectos estrat'!BE26</f>
        <v>0.75</v>
      </c>
      <c r="AB148" s="217">
        <f t="shared" si="113"/>
        <v>0.75</v>
      </c>
      <c r="AC148" s="216">
        <f t="shared" si="114"/>
        <v>0.75</v>
      </c>
      <c r="AD148" s="213"/>
      <c r="AE148" s="303">
        <f>+'Plan de Accion Proyectos estrat'!BK26</f>
        <v>0.25</v>
      </c>
      <c r="AF148" s="304">
        <f>+'Plan de Accion Proyectos estrat'!BM26</f>
        <v>1</v>
      </c>
      <c r="AG148" s="212">
        <f t="shared" si="115"/>
        <v>1</v>
      </c>
      <c r="AH148" s="304">
        <f>+'Plan de Accion Proyectos estrat'!BO26</f>
        <v>1</v>
      </c>
      <c r="AI148" s="211">
        <f t="shared" si="116"/>
        <v>1</v>
      </c>
      <c r="AJ148" s="1482"/>
      <c r="AK148" s="1167"/>
      <c r="AL148" s="1511"/>
      <c r="AM148" s="1488"/>
      <c r="AN148" s="204"/>
      <c r="AO148" s="1511"/>
      <c r="AP148" s="1488"/>
      <c r="AQ148" s="204"/>
      <c r="AR148" s="1511"/>
      <c r="AS148" s="1488"/>
      <c r="AT148" s="204"/>
      <c r="AU148" s="1511"/>
      <c r="AV148" s="1488"/>
      <c r="AW148" s="202"/>
      <c r="AX148" s="1507"/>
      <c r="AY148" s="235"/>
      <c r="AZ148" s="1511"/>
      <c r="BA148" s="1488"/>
      <c r="BB148" s="204"/>
      <c r="BC148" s="1511"/>
      <c r="BD148" s="1488"/>
      <c r="BE148" s="204"/>
      <c r="BF148" s="1511"/>
      <c r="BG148" s="1488"/>
      <c r="BH148" s="204"/>
      <c r="BI148" s="1511"/>
      <c r="BJ148" s="1488"/>
      <c r="BK148" s="202"/>
      <c r="BL148" s="1507"/>
      <c r="BN148" s="1511"/>
      <c r="BO148" s="1488"/>
      <c r="BP148" s="204"/>
      <c r="BQ148" s="1511"/>
      <c r="BR148" s="1488"/>
      <c r="BS148" s="204"/>
      <c r="BT148" s="1511"/>
      <c r="BU148" s="1488"/>
      <c r="BV148" s="204"/>
      <c r="BW148" s="1511"/>
      <c r="BX148" s="1488"/>
      <c r="BY148" s="202"/>
      <c r="BZ148" s="1507"/>
      <c r="CB148" s="1511"/>
      <c r="CC148" s="1488"/>
      <c r="CD148" s="204"/>
      <c r="CE148" s="1511"/>
      <c r="CF148" s="1488"/>
      <c r="CG148" s="204"/>
      <c r="CH148" s="1511"/>
      <c r="CI148" s="1488"/>
      <c r="CJ148" s="204"/>
      <c r="CK148" s="1511"/>
      <c r="CL148" s="1488"/>
      <c r="CM148" s="202"/>
      <c r="CN148" s="1507"/>
    </row>
    <row r="149" spans="2:94" ht="71.25" customHeight="1" x14ac:dyDescent="0.25">
      <c r="B149" s="1589"/>
      <c r="C149" s="1478"/>
      <c r="D149" s="1462"/>
      <c r="E149" s="1440"/>
      <c r="F149" s="1443"/>
      <c r="G149" s="308" t="str">
        <f>+'Plan de Accion Proyectos estrat'!K29</f>
        <v>Proceso de Compensación ejecutado</v>
      </c>
      <c r="H149" s="224" t="str">
        <f>+'Plan de Accion Proyectos estrat'!X29</f>
        <v># Procesos de compensación ejecutados / # procesos de compensación programados en el cronograma</v>
      </c>
      <c r="I149" s="236"/>
      <c r="J149" s="303">
        <f>+'Plan de Accion Proyectos estrat'!AG29</f>
        <v>0.25</v>
      </c>
      <c r="K149" s="476">
        <f>+'Plan de Accion Proyectos estrat'!AI29</f>
        <v>1</v>
      </c>
      <c r="L149" s="476">
        <f t="shared" si="119"/>
        <v>1</v>
      </c>
      <c r="M149" s="476">
        <f>+'Plan de Accion Proyectos estrat'!AK29</f>
        <v>0.25</v>
      </c>
      <c r="N149" s="476">
        <f t="shared" si="117"/>
        <v>0.25</v>
      </c>
      <c r="O149" s="478">
        <f t="shared" si="118"/>
        <v>0.25</v>
      </c>
      <c r="P149" s="213"/>
      <c r="Q149" s="303">
        <f>+'Plan de Accion Proyectos estrat'!AQ29</f>
        <v>0.25</v>
      </c>
      <c r="R149" s="304">
        <f>+'Plan de Accion Proyectos estrat'!AS29</f>
        <v>1</v>
      </c>
      <c r="S149" s="212">
        <f t="shared" si="120"/>
        <v>1</v>
      </c>
      <c r="T149" s="304">
        <f>+'Plan de Accion Proyectos estrat'!AU29</f>
        <v>0.5</v>
      </c>
      <c r="U149" s="304">
        <f t="shared" si="121"/>
        <v>0.5</v>
      </c>
      <c r="V149" s="211">
        <f t="shared" si="111"/>
        <v>0.5</v>
      </c>
      <c r="W149" s="213"/>
      <c r="X149" s="303">
        <f>+'Plan de Accion Proyectos estrat'!BA29</f>
        <v>0.25</v>
      </c>
      <c r="Y149" s="304">
        <f>+'Plan de Accion Proyectos estrat'!BC29</f>
        <v>1</v>
      </c>
      <c r="Z149" s="212">
        <f t="shared" si="112"/>
        <v>1</v>
      </c>
      <c r="AA149" s="217">
        <f>+'Plan de Accion Proyectos estrat'!BE29</f>
        <v>0.75</v>
      </c>
      <c r="AB149" s="217">
        <f t="shared" si="113"/>
        <v>0.75</v>
      </c>
      <c r="AC149" s="216">
        <f t="shared" si="114"/>
        <v>0.75</v>
      </c>
      <c r="AD149" s="213"/>
      <c r="AE149" s="303">
        <f>+'Plan de Accion Proyectos estrat'!BK29</f>
        <v>0.25</v>
      </c>
      <c r="AF149" s="304">
        <f>+'Plan de Accion Proyectos estrat'!BM29</f>
        <v>1</v>
      </c>
      <c r="AG149" s="212">
        <f t="shared" si="115"/>
        <v>1</v>
      </c>
      <c r="AH149" s="304">
        <f>+'Plan de Accion Proyectos estrat'!BO29</f>
        <v>1</v>
      </c>
      <c r="AI149" s="211">
        <f t="shared" si="116"/>
        <v>1</v>
      </c>
      <c r="AJ149" s="1482"/>
      <c r="AK149" s="1167"/>
      <c r="AL149" s="1511"/>
      <c r="AM149" s="1488"/>
      <c r="AN149" s="204"/>
      <c r="AO149" s="1511"/>
      <c r="AP149" s="1488"/>
      <c r="AQ149" s="204"/>
      <c r="AR149" s="1511"/>
      <c r="AS149" s="1488"/>
      <c r="AT149" s="204"/>
      <c r="AU149" s="1511"/>
      <c r="AV149" s="1488"/>
      <c r="AW149" s="202"/>
      <c r="AX149" s="1507"/>
      <c r="AY149" s="235"/>
      <c r="AZ149" s="1511"/>
      <c r="BA149" s="1488"/>
      <c r="BB149" s="204"/>
      <c r="BC149" s="1511"/>
      <c r="BD149" s="1488"/>
      <c r="BE149" s="204"/>
      <c r="BF149" s="1511"/>
      <c r="BG149" s="1488"/>
      <c r="BH149" s="204"/>
      <c r="BI149" s="1511"/>
      <c r="BJ149" s="1488"/>
      <c r="BK149" s="202"/>
      <c r="BL149" s="1507"/>
      <c r="BN149" s="1511"/>
      <c r="BO149" s="1488"/>
      <c r="BP149" s="204"/>
      <c r="BQ149" s="1511"/>
      <c r="BR149" s="1488"/>
      <c r="BS149" s="204"/>
      <c r="BT149" s="1511"/>
      <c r="BU149" s="1488"/>
      <c r="BV149" s="204"/>
      <c r="BW149" s="1511"/>
      <c r="BX149" s="1488"/>
      <c r="BY149" s="202"/>
      <c r="BZ149" s="1507"/>
      <c r="CB149" s="1511"/>
      <c r="CC149" s="1488"/>
      <c r="CD149" s="204"/>
      <c r="CE149" s="1511"/>
      <c r="CF149" s="1488"/>
      <c r="CG149" s="204"/>
      <c r="CH149" s="1511"/>
      <c r="CI149" s="1488"/>
      <c r="CJ149" s="204"/>
      <c r="CK149" s="1511"/>
      <c r="CL149" s="1488"/>
      <c r="CM149" s="202"/>
      <c r="CN149" s="1507"/>
    </row>
    <row r="150" spans="2:94" ht="42.75" customHeight="1" x14ac:dyDescent="0.25">
      <c r="B150" s="1589"/>
      <c r="C150" s="1478"/>
      <c r="D150" s="1462"/>
      <c r="E150" s="1440"/>
      <c r="F150" s="1443"/>
      <c r="G150" s="308" t="str">
        <f>+'Plan de Accion Proyectos estrat'!K30</f>
        <v>Prestaciones económicas REX</v>
      </c>
      <c r="H150" s="224" t="str">
        <f>+'Plan de Accion Proyectos estrat'!X30</f>
        <v># Solicitudes de prestaciones económicas tramitadas / # solicitudes de prestaciones económicas radicadas</v>
      </c>
      <c r="I150" s="236"/>
      <c r="J150" s="303">
        <f>+'Plan de Accion Proyectos estrat'!AG30</f>
        <v>0.24896265560165975</v>
      </c>
      <c r="K150" s="476">
        <f>+'Plan de Accion Proyectos estrat'!AI30</f>
        <v>0.99585062240663902</v>
      </c>
      <c r="L150" s="476">
        <f t="shared" si="119"/>
        <v>0.99585062240663902</v>
      </c>
      <c r="M150" s="476">
        <f>+'Plan de Accion Proyectos estrat'!AK30</f>
        <v>0.24896265560165975</v>
      </c>
      <c r="N150" s="476">
        <f t="shared" si="117"/>
        <v>0.24896265560165975</v>
      </c>
      <c r="O150" s="478">
        <f t="shared" si="118"/>
        <v>0.24896265560165975</v>
      </c>
      <c r="P150" s="213"/>
      <c r="Q150" s="303">
        <f>+'Plan de Accion Proyectos estrat'!AQ30</f>
        <v>0.24793632075471697</v>
      </c>
      <c r="R150" s="304">
        <f>+'Plan de Accion Proyectos estrat'!AS30</f>
        <v>0.99174528301886788</v>
      </c>
      <c r="S150" s="212">
        <f t="shared" si="120"/>
        <v>0.99174528301886788</v>
      </c>
      <c r="T150" s="304">
        <f>+'Plan de Accion Proyectos estrat'!AU30</f>
        <v>0.4968989763563767</v>
      </c>
      <c r="U150" s="304">
        <f t="shared" si="121"/>
        <v>0.4968989763563767</v>
      </c>
      <c r="V150" s="211">
        <f t="shared" si="111"/>
        <v>0.4968989763563767</v>
      </c>
      <c r="W150" s="213"/>
      <c r="X150" s="303">
        <f>+'Plan de Accion Proyectos estrat'!BA30</f>
        <v>0.24941314553990609</v>
      </c>
      <c r="Y150" s="304">
        <f>+'Plan de Accion Proyectos estrat'!BC30</f>
        <v>0.99765258215962438</v>
      </c>
      <c r="Z150" s="212">
        <f t="shared" si="112"/>
        <v>0.99765258215962438</v>
      </c>
      <c r="AA150" s="217">
        <f>+'Plan de Accion Proyectos estrat'!BE30</f>
        <v>0.74631212189628282</v>
      </c>
      <c r="AB150" s="217">
        <f t="shared" si="113"/>
        <v>0.74631212189628282</v>
      </c>
      <c r="AC150" s="216">
        <f t="shared" si="114"/>
        <v>0.74631212189628282</v>
      </c>
      <c r="AD150" s="213"/>
      <c r="AE150" s="303">
        <f>+'Plan de Accion Proyectos estrat'!BK30</f>
        <v>0.24089874857792948</v>
      </c>
      <c r="AF150" s="304">
        <f>+'Plan de Accion Proyectos estrat'!BM30</f>
        <v>0.96359499431171791</v>
      </c>
      <c r="AG150" s="212">
        <f t="shared" si="115"/>
        <v>0.96359499431171791</v>
      </c>
      <c r="AH150" s="304">
        <f>+'Plan de Accion Proyectos estrat'!BO30</f>
        <v>0.9872108704742123</v>
      </c>
      <c r="AI150" s="211">
        <f t="shared" si="116"/>
        <v>0.9872108704742123</v>
      </c>
      <c r="AJ150" s="1482"/>
      <c r="AK150" s="1167"/>
      <c r="AL150" s="1511"/>
      <c r="AM150" s="1488"/>
      <c r="AN150" s="204"/>
      <c r="AO150" s="1511"/>
      <c r="AP150" s="1488"/>
      <c r="AQ150" s="204"/>
      <c r="AR150" s="1511"/>
      <c r="AS150" s="1488"/>
      <c r="AT150" s="204"/>
      <c r="AU150" s="1511"/>
      <c r="AV150" s="1488"/>
      <c r="AW150" s="202"/>
      <c r="AX150" s="1507"/>
      <c r="AY150" s="235"/>
      <c r="AZ150" s="1511"/>
      <c r="BA150" s="1488"/>
      <c r="BB150" s="204"/>
      <c r="BC150" s="1511"/>
      <c r="BD150" s="1488"/>
      <c r="BE150" s="204"/>
      <c r="BF150" s="1511"/>
      <c r="BG150" s="1488"/>
      <c r="BH150" s="204"/>
      <c r="BI150" s="1511"/>
      <c r="BJ150" s="1488"/>
      <c r="BK150" s="202"/>
      <c r="BL150" s="1507"/>
      <c r="BN150" s="1511"/>
      <c r="BO150" s="1488"/>
      <c r="BP150" s="204"/>
      <c r="BQ150" s="1511"/>
      <c r="BR150" s="1488"/>
      <c r="BS150" s="204"/>
      <c r="BT150" s="1511"/>
      <c r="BU150" s="1488"/>
      <c r="BV150" s="204"/>
      <c r="BW150" s="1511"/>
      <c r="BX150" s="1488"/>
      <c r="BY150" s="202"/>
      <c r="BZ150" s="1507"/>
      <c r="CB150" s="1511"/>
      <c r="CC150" s="1488"/>
      <c r="CD150" s="204"/>
      <c r="CE150" s="1511"/>
      <c r="CF150" s="1488"/>
      <c r="CG150" s="204"/>
      <c r="CH150" s="1511"/>
      <c r="CI150" s="1488"/>
      <c r="CJ150" s="204"/>
      <c r="CK150" s="1511"/>
      <c r="CL150" s="1488"/>
      <c r="CM150" s="202"/>
      <c r="CN150" s="1507"/>
    </row>
    <row r="151" spans="2:94" ht="57" x14ac:dyDescent="0.25">
      <c r="B151" s="1589"/>
      <c r="C151" s="1478"/>
      <c r="D151" s="1462"/>
      <c r="E151" s="1440"/>
      <c r="F151" s="1443"/>
      <c r="G151" s="308" t="str">
        <f>+'Plan de Accion Proyectos estrat'!K31</f>
        <v>Devoluciones económicas REX</v>
      </c>
      <c r="H151" s="224" t="str">
        <f>+'Plan de Accion Proyectos estrat'!X31</f>
        <v># Solicitudes de devolución de aportes tramitadas / # Solicitudes de devolución de aportes radicadas</v>
      </c>
      <c r="I151" s="236"/>
      <c r="J151" s="303">
        <f>+'Plan de Accion Proyectos estrat'!AG31</f>
        <v>0.24726775956284153</v>
      </c>
      <c r="K151" s="476">
        <f>+'Plan de Accion Proyectos estrat'!AI31</f>
        <v>0.98907103825136611</v>
      </c>
      <c r="L151" s="476">
        <f t="shared" si="119"/>
        <v>0.98907103825136611</v>
      </c>
      <c r="M151" s="476">
        <f>+'Plan de Accion Proyectos estrat'!AK31</f>
        <v>0.24726775956284153</v>
      </c>
      <c r="N151" s="476">
        <f t="shared" si="117"/>
        <v>0.24726775956284153</v>
      </c>
      <c r="O151" s="478">
        <f t="shared" si="118"/>
        <v>0.24726775956284153</v>
      </c>
      <c r="P151" s="213"/>
      <c r="Q151" s="303">
        <f>+'Plan de Accion Proyectos estrat'!AQ31</f>
        <v>0.25</v>
      </c>
      <c r="R151" s="304">
        <f>+'Plan de Accion Proyectos estrat'!AS31</f>
        <v>1</v>
      </c>
      <c r="S151" s="212">
        <f t="shared" si="120"/>
        <v>1</v>
      </c>
      <c r="T151" s="304">
        <f>+'Plan de Accion Proyectos estrat'!AU31</f>
        <v>0.49726775956284153</v>
      </c>
      <c r="U151" s="304">
        <f t="shared" si="121"/>
        <v>0.49726775956284153</v>
      </c>
      <c r="V151" s="211">
        <f t="shared" si="111"/>
        <v>0.49726775956284153</v>
      </c>
      <c r="W151" s="213"/>
      <c r="X151" s="303">
        <f>+'Plan de Accion Proyectos estrat'!BA31</f>
        <v>0.25</v>
      </c>
      <c r="Y151" s="304">
        <f>+'Plan de Accion Proyectos estrat'!BC31</f>
        <v>1</v>
      </c>
      <c r="Z151" s="212">
        <f t="shared" si="112"/>
        <v>1</v>
      </c>
      <c r="AA151" s="217">
        <f>+'Plan de Accion Proyectos estrat'!BE31</f>
        <v>0.74726775956284153</v>
      </c>
      <c r="AB151" s="217">
        <f t="shared" si="113"/>
        <v>0.74726775956284153</v>
      </c>
      <c r="AC151" s="216">
        <f t="shared" si="114"/>
        <v>0.74726775956284153</v>
      </c>
      <c r="AD151" s="213"/>
      <c r="AE151" s="303">
        <f>+'Plan de Accion Proyectos estrat'!BK31</f>
        <v>0.25</v>
      </c>
      <c r="AF151" s="304">
        <f>+'Plan de Accion Proyectos estrat'!BM31</f>
        <v>1</v>
      </c>
      <c r="AG151" s="212">
        <f t="shared" si="115"/>
        <v>1</v>
      </c>
      <c r="AH151" s="304">
        <f>+'Plan de Accion Proyectos estrat'!BO31</f>
        <v>0.99726775956284153</v>
      </c>
      <c r="AI151" s="211">
        <f t="shared" si="116"/>
        <v>0.99726775956284153</v>
      </c>
      <c r="AJ151" s="1482"/>
      <c r="AK151" s="1167"/>
      <c r="AL151" s="1511"/>
      <c r="AM151" s="1488"/>
      <c r="AN151" s="204"/>
      <c r="AO151" s="1511"/>
      <c r="AP151" s="1488"/>
      <c r="AQ151" s="204"/>
      <c r="AR151" s="1511"/>
      <c r="AS151" s="1488"/>
      <c r="AT151" s="204"/>
      <c r="AU151" s="1511"/>
      <c r="AV151" s="1488"/>
      <c r="AW151" s="202"/>
      <c r="AX151" s="1507"/>
      <c r="AY151" s="235"/>
      <c r="AZ151" s="1511"/>
      <c r="BA151" s="1488"/>
      <c r="BB151" s="204"/>
      <c r="BC151" s="1511"/>
      <c r="BD151" s="1488"/>
      <c r="BE151" s="204"/>
      <c r="BF151" s="1511"/>
      <c r="BG151" s="1488"/>
      <c r="BH151" s="204"/>
      <c r="BI151" s="1511"/>
      <c r="BJ151" s="1488"/>
      <c r="BK151" s="202"/>
      <c r="BL151" s="1507"/>
      <c r="BN151" s="1511"/>
      <c r="BO151" s="1488"/>
      <c r="BP151" s="204"/>
      <c r="BQ151" s="1511"/>
      <c r="BR151" s="1488"/>
      <c r="BS151" s="204"/>
      <c r="BT151" s="1511"/>
      <c r="BU151" s="1488"/>
      <c r="BV151" s="204"/>
      <c r="BW151" s="1511"/>
      <c r="BX151" s="1488"/>
      <c r="BY151" s="202"/>
      <c r="BZ151" s="1507"/>
      <c r="CB151" s="1511"/>
      <c r="CC151" s="1488"/>
      <c r="CD151" s="204"/>
      <c r="CE151" s="1511"/>
      <c r="CF151" s="1488"/>
      <c r="CG151" s="204"/>
      <c r="CH151" s="1511"/>
      <c r="CI151" s="1488"/>
      <c r="CJ151" s="204"/>
      <c r="CK151" s="1511"/>
      <c r="CL151" s="1488"/>
      <c r="CM151" s="202"/>
      <c r="CN151" s="1507"/>
    </row>
    <row r="152" spans="2:94" ht="57" x14ac:dyDescent="0.25">
      <c r="B152" s="1589"/>
      <c r="C152" s="1478"/>
      <c r="D152" s="1462"/>
      <c r="E152" s="1440"/>
      <c r="F152" s="1443"/>
      <c r="G152" s="308" t="str">
        <f>+'Plan de Accion Proyectos estrat'!K32</f>
        <v>Liquidación y reconocimiento de la UPC de los Afiliados del Régimen Subsidiado</v>
      </c>
      <c r="H152" s="224" t="str">
        <f>+'Plan de Accion Proyectos estrat'!X32</f>
        <v xml:space="preserve"># Procesos de LMA ejecutados </v>
      </c>
      <c r="I152" s="236"/>
      <c r="J152" s="218">
        <f>+'Plan de Accion Proyectos estrat'!AG32</f>
        <v>3</v>
      </c>
      <c r="K152" s="476">
        <f>+'Plan de Accion Proyectos estrat'!AI32</f>
        <v>1</v>
      </c>
      <c r="L152" s="476">
        <f t="shared" si="119"/>
        <v>1</v>
      </c>
      <c r="M152" s="476">
        <f>+'Plan de Accion Proyectos estrat'!AK32</f>
        <v>0.25</v>
      </c>
      <c r="N152" s="476">
        <f t="shared" si="117"/>
        <v>0.25</v>
      </c>
      <c r="O152" s="478">
        <f t="shared" si="118"/>
        <v>0.25</v>
      </c>
      <c r="P152" s="213"/>
      <c r="Q152" s="218">
        <f>+'Plan de Accion Proyectos estrat'!AQ32</f>
        <v>3</v>
      </c>
      <c r="R152" s="304">
        <f>+'Plan de Accion Proyectos estrat'!AS32</f>
        <v>1</v>
      </c>
      <c r="S152" s="212">
        <f t="shared" si="120"/>
        <v>1</v>
      </c>
      <c r="T152" s="304">
        <f>+'Plan de Accion Proyectos estrat'!AU32</f>
        <v>0.5</v>
      </c>
      <c r="U152" s="304">
        <f t="shared" si="121"/>
        <v>0.5</v>
      </c>
      <c r="V152" s="211">
        <f t="shared" si="111"/>
        <v>0.5</v>
      </c>
      <c r="W152" s="213"/>
      <c r="X152" s="218">
        <f>+'Plan de Accion Proyectos estrat'!BA32</f>
        <v>3</v>
      </c>
      <c r="Y152" s="304">
        <f>+'Plan de Accion Proyectos estrat'!BC32</f>
        <v>1</v>
      </c>
      <c r="Z152" s="212">
        <f t="shared" si="112"/>
        <v>1</v>
      </c>
      <c r="AA152" s="217">
        <f>+'Plan de Accion Proyectos estrat'!BE32</f>
        <v>0.75</v>
      </c>
      <c r="AB152" s="217">
        <f t="shared" si="113"/>
        <v>0.75</v>
      </c>
      <c r="AC152" s="216">
        <f t="shared" si="114"/>
        <v>0.75</v>
      </c>
      <c r="AD152" s="213"/>
      <c r="AE152" s="219">
        <f>+'Plan de Accion Proyectos estrat'!BK32</f>
        <v>3</v>
      </c>
      <c r="AF152" s="304">
        <f>+'Plan de Accion Proyectos estrat'!BM32</f>
        <v>1</v>
      </c>
      <c r="AG152" s="212">
        <f t="shared" si="115"/>
        <v>1</v>
      </c>
      <c r="AH152" s="304">
        <f>+'Plan de Accion Proyectos estrat'!BO32</f>
        <v>1</v>
      </c>
      <c r="AI152" s="211">
        <f t="shared" si="116"/>
        <v>1</v>
      </c>
      <c r="AJ152" s="1482"/>
      <c r="AK152" s="1167"/>
      <c r="AL152" s="1511"/>
      <c r="AM152" s="1488"/>
      <c r="AN152" s="204"/>
      <c r="AO152" s="1511"/>
      <c r="AP152" s="1488"/>
      <c r="AQ152" s="204"/>
      <c r="AR152" s="1511"/>
      <c r="AS152" s="1488"/>
      <c r="AT152" s="204"/>
      <c r="AU152" s="1511"/>
      <c r="AV152" s="1488"/>
      <c r="AW152" s="202"/>
      <c r="AX152" s="1507"/>
      <c r="AY152" s="235"/>
      <c r="AZ152" s="1511"/>
      <c r="BA152" s="1488"/>
      <c r="BB152" s="204"/>
      <c r="BC152" s="1511"/>
      <c r="BD152" s="1488"/>
      <c r="BE152" s="204"/>
      <c r="BF152" s="1511"/>
      <c r="BG152" s="1488"/>
      <c r="BH152" s="204"/>
      <c r="BI152" s="1511"/>
      <c r="BJ152" s="1488"/>
      <c r="BK152" s="202"/>
      <c r="BL152" s="1507"/>
      <c r="BN152" s="1511"/>
      <c r="BO152" s="1488"/>
      <c r="BP152" s="204"/>
      <c r="BQ152" s="1511"/>
      <c r="BR152" s="1488"/>
      <c r="BS152" s="204"/>
      <c r="BT152" s="1511"/>
      <c r="BU152" s="1488"/>
      <c r="BV152" s="204"/>
      <c r="BW152" s="1511"/>
      <c r="BX152" s="1488"/>
      <c r="BY152" s="202"/>
      <c r="BZ152" s="1507"/>
      <c r="CB152" s="1511"/>
      <c r="CC152" s="1488"/>
      <c r="CD152" s="204"/>
      <c r="CE152" s="1511"/>
      <c r="CF152" s="1488"/>
      <c r="CG152" s="204"/>
      <c r="CH152" s="1511"/>
      <c r="CI152" s="1488"/>
      <c r="CJ152" s="204"/>
      <c r="CK152" s="1511"/>
      <c r="CL152" s="1488"/>
      <c r="CM152" s="202"/>
      <c r="CN152" s="1507"/>
    </row>
    <row r="153" spans="2:94" ht="57" customHeight="1" x14ac:dyDescent="0.25">
      <c r="B153" s="1589"/>
      <c r="C153" s="1478"/>
      <c r="D153" s="1472"/>
      <c r="E153" s="1440"/>
      <c r="F153" s="1443"/>
      <c r="G153" s="308" t="str">
        <f>+'Plan de Accion Proyectos estrat'!K33</f>
        <v xml:space="preserve">Liquidación y reconocimiento de licencias de maternidad y paternidad </v>
      </c>
      <c r="H153" s="224" t="str">
        <f>+'Plan de Accion Proyectos estrat'!X33</f>
        <v xml:space="preserve"># Procesos de liquidación y reconocimiento de licencias de maternidad y paternidad ejecutados </v>
      </c>
      <c r="I153" s="236"/>
      <c r="J153" s="218">
        <f>+'Plan de Accion Proyectos estrat'!AG33</f>
        <v>3</v>
      </c>
      <c r="K153" s="476">
        <f>+'Plan de Accion Proyectos estrat'!AI33</f>
        <v>1</v>
      </c>
      <c r="L153" s="476">
        <f t="shared" si="119"/>
        <v>1</v>
      </c>
      <c r="M153" s="476">
        <f>+'Plan de Accion Proyectos estrat'!AK33</f>
        <v>0.25</v>
      </c>
      <c r="N153" s="476">
        <f t="shared" si="117"/>
        <v>0.25</v>
      </c>
      <c r="O153" s="478">
        <f t="shared" si="118"/>
        <v>0.25</v>
      </c>
      <c r="P153" s="213"/>
      <c r="Q153" s="218">
        <f>+'Plan de Accion Proyectos estrat'!AQ33</f>
        <v>3</v>
      </c>
      <c r="R153" s="304">
        <f>+'Plan de Accion Proyectos estrat'!AS33</f>
        <v>1</v>
      </c>
      <c r="S153" s="212">
        <f t="shared" si="120"/>
        <v>1</v>
      </c>
      <c r="T153" s="304">
        <f>+'Plan de Accion Proyectos estrat'!AU33</f>
        <v>0.5</v>
      </c>
      <c r="U153" s="304">
        <f t="shared" si="121"/>
        <v>0.5</v>
      </c>
      <c r="V153" s="211">
        <f t="shared" si="111"/>
        <v>0.5</v>
      </c>
      <c r="W153" s="213"/>
      <c r="X153" s="218">
        <f>+'Plan de Accion Proyectos estrat'!BA33</f>
        <v>3</v>
      </c>
      <c r="Y153" s="304">
        <f>+'Plan de Accion Proyectos estrat'!BC33</f>
        <v>1</v>
      </c>
      <c r="Z153" s="212">
        <f t="shared" si="112"/>
        <v>1</v>
      </c>
      <c r="AA153" s="217">
        <f>+'Plan de Accion Proyectos estrat'!BE33</f>
        <v>0.75</v>
      </c>
      <c r="AB153" s="217">
        <f t="shared" si="113"/>
        <v>0.75</v>
      </c>
      <c r="AC153" s="216">
        <f t="shared" si="114"/>
        <v>0.75</v>
      </c>
      <c r="AD153" s="213"/>
      <c r="AE153" s="219">
        <f>+'Plan de Accion Proyectos estrat'!BK33</f>
        <v>3</v>
      </c>
      <c r="AF153" s="304">
        <f>+'Plan de Accion Proyectos estrat'!BM33</f>
        <v>1</v>
      </c>
      <c r="AG153" s="212">
        <f t="shared" si="115"/>
        <v>1</v>
      </c>
      <c r="AH153" s="304">
        <f>+'Plan de Accion Proyectos estrat'!BO33</f>
        <v>1</v>
      </c>
      <c r="AI153" s="211">
        <f t="shared" si="116"/>
        <v>1</v>
      </c>
      <c r="AJ153" s="1482"/>
      <c r="AK153" s="1167"/>
      <c r="AL153" s="1511"/>
      <c r="AM153" s="1488"/>
      <c r="AN153" s="204"/>
      <c r="AO153" s="1511"/>
      <c r="AP153" s="1488"/>
      <c r="AQ153" s="204"/>
      <c r="AR153" s="1511"/>
      <c r="AS153" s="1488"/>
      <c r="AT153" s="204"/>
      <c r="AU153" s="1511"/>
      <c r="AV153" s="1488"/>
      <c r="AW153" s="202"/>
      <c r="AX153" s="1507"/>
      <c r="AY153" s="235"/>
      <c r="AZ153" s="1511"/>
      <c r="BA153" s="1488"/>
      <c r="BB153" s="204"/>
      <c r="BC153" s="1511"/>
      <c r="BD153" s="1488"/>
      <c r="BE153" s="204"/>
      <c r="BF153" s="1511"/>
      <c r="BG153" s="1488"/>
      <c r="BH153" s="204"/>
      <c r="BI153" s="1511"/>
      <c r="BJ153" s="1488"/>
      <c r="BK153" s="202"/>
      <c r="BL153" s="1507"/>
      <c r="BN153" s="1511"/>
      <c r="BO153" s="1488"/>
      <c r="BP153" s="204"/>
      <c r="BQ153" s="1511"/>
      <c r="BR153" s="1488"/>
      <c r="BS153" s="204"/>
      <c r="BT153" s="1511"/>
      <c r="BU153" s="1488"/>
      <c r="BV153" s="204"/>
      <c r="BW153" s="1511"/>
      <c r="BX153" s="1488"/>
      <c r="BY153" s="202"/>
      <c r="BZ153" s="1507"/>
      <c r="CB153" s="1511"/>
      <c r="CC153" s="1488"/>
      <c r="CD153" s="204"/>
      <c r="CE153" s="1511"/>
      <c r="CF153" s="1488"/>
      <c r="CG153" s="204"/>
      <c r="CH153" s="1511"/>
      <c r="CI153" s="1488"/>
      <c r="CJ153" s="204"/>
      <c r="CK153" s="1511"/>
      <c r="CL153" s="1488"/>
      <c r="CM153" s="202"/>
      <c r="CN153" s="1507"/>
    </row>
    <row r="154" spans="2:94" ht="57" customHeight="1" x14ac:dyDescent="0.25">
      <c r="B154" s="1589"/>
      <c r="C154" s="1459" t="s">
        <v>345</v>
      </c>
      <c r="D154" s="1595" t="s">
        <v>204</v>
      </c>
      <c r="E154" s="1440"/>
      <c r="F154" s="1443"/>
      <c r="G154" s="887" t="str">
        <f>+'Plan de Accion Misional'!K22</f>
        <v xml:space="preserve">Modelo operativo del saneamiento definitivo </v>
      </c>
      <c r="H154" s="224" t="str">
        <f>+'Plan de Accion Misional'!X22</f>
        <v># Documento que contengan el Modelo operativo del saneamiento definitivo elaborados</v>
      </c>
      <c r="I154" s="236"/>
      <c r="J154" s="219">
        <f>+'Plan de Accion Misional'!AG22</f>
        <v>0</v>
      </c>
      <c r="K154" s="885" t="str">
        <f>+'Plan de Accion Misional'!BR22</f>
        <v>No Prog ni Ejec</v>
      </c>
      <c r="L154" s="885" t="s">
        <v>204</v>
      </c>
      <c r="M154" s="885" t="s">
        <v>204</v>
      </c>
      <c r="N154" s="885" t="s">
        <v>204</v>
      </c>
      <c r="O154" s="886" t="s">
        <v>204</v>
      </c>
      <c r="P154" s="213"/>
      <c r="Q154" s="219">
        <f>+'Plan de Accion Misional'!AQ22</f>
        <v>0</v>
      </c>
      <c r="R154" s="248" t="str">
        <f>+'Plan de Accion Misional'!BT22</f>
        <v>No Prog ni Ejec</v>
      </c>
      <c r="S154" s="212" t="s">
        <v>204</v>
      </c>
      <c r="T154" s="885" t="s">
        <v>204</v>
      </c>
      <c r="U154" s="885" t="s">
        <v>204</v>
      </c>
      <c r="V154" s="211" t="str">
        <f>+U154</f>
        <v>N.A</v>
      </c>
      <c r="W154" s="213"/>
      <c r="X154" s="219">
        <f>+'Plan de Accion Misional'!BA22</f>
        <v>0</v>
      </c>
      <c r="Y154" s="248" t="str">
        <f>+'Plan de Accion Misional'!BV22</f>
        <v>No Prog ni Ejec</v>
      </c>
      <c r="Z154" s="212" t="s">
        <v>204</v>
      </c>
      <c r="AA154" s="217" t="s">
        <v>204</v>
      </c>
      <c r="AB154" s="217" t="s">
        <v>204</v>
      </c>
      <c r="AC154" s="216" t="s">
        <v>204</v>
      </c>
      <c r="AD154" s="213"/>
      <c r="AE154" s="219">
        <f>+'Plan de Accion Misional'!BK22</f>
        <v>1</v>
      </c>
      <c r="AF154" s="248">
        <f>+'Plan de Accion Misional'!BX22</f>
        <v>1</v>
      </c>
      <c r="AG154" s="212">
        <f t="shared" si="115"/>
        <v>1</v>
      </c>
      <c r="AH154" s="248">
        <f>+'Plan de Accion Misional'!BO22</f>
        <v>1</v>
      </c>
      <c r="AI154" s="211">
        <f>IF(AH154&gt;100%,100%,AH154)</f>
        <v>1</v>
      </c>
      <c r="AJ154" s="1482"/>
      <c r="AK154" s="1167"/>
      <c r="AL154" s="1511"/>
      <c r="AM154" s="1488"/>
      <c r="AN154" s="204"/>
      <c r="AO154" s="1511"/>
      <c r="AP154" s="1488"/>
      <c r="AQ154" s="204"/>
      <c r="AR154" s="1511"/>
      <c r="AS154" s="1488"/>
      <c r="AT154" s="204"/>
      <c r="AU154" s="1511"/>
      <c r="AV154" s="1488"/>
      <c r="AW154" s="202"/>
      <c r="AX154" s="1507"/>
      <c r="AY154" s="235"/>
      <c r="AZ154" s="1511"/>
      <c r="BA154" s="1488"/>
      <c r="BB154" s="204"/>
      <c r="BC154" s="1511"/>
      <c r="BD154" s="1488"/>
      <c r="BE154" s="204"/>
      <c r="BF154" s="1511"/>
      <c r="BG154" s="1488"/>
      <c r="BH154" s="204"/>
      <c r="BI154" s="1511"/>
      <c r="BJ154" s="1488"/>
      <c r="BK154" s="202"/>
      <c r="BL154" s="1507"/>
      <c r="BN154" s="1511"/>
      <c r="BO154" s="1488"/>
      <c r="BP154" s="204"/>
      <c r="BQ154" s="1511"/>
      <c r="BR154" s="1488"/>
      <c r="BS154" s="204"/>
      <c r="BT154" s="1511"/>
      <c r="BU154" s="1488"/>
      <c r="BV154" s="204"/>
      <c r="BW154" s="1511"/>
      <c r="BX154" s="1488"/>
      <c r="BY154" s="202"/>
      <c r="BZ154" s="1507"/>
      <c r="CB154" s="1511"/>
      <c r="CC154" s="1488"/>
      <c r="CD154" s="204"/>
      <c r="CE154" s="1511"/>
      <c r="CF154" s="1488"/>
      <c r="CG154" s="204"/>
      <c r="CH154" s="1511"/>
      <c r="CI154" s="1488"/>
      <c r="CJ154" s="204"/>
      <c r="CK154" s="1511"/>
      <c r="CL154" s="1488"/>
      <c r="CM154" s="202"/>
      <c r="CN154" s="1507"/>
    </row>
    <row r="155" spans="2:94" ht="57" customHeight="1" x14ac:dyDescent="0.25">
      <c r="B155" s="1589"/>
      <c r="C155" s="1471"/>
      <c r="D155" s="1596"/>
      <c r="E155" s="1440"/>
      <c r="F155" s="1443"/>
      <c r="G155" s="887" t="str">
        <f>+'Plan de Accion Misional'!K23</f>
        <v>Proyectos de decreto y resolución del MSPS para la reglamentación del saneamiento definitivo con observaciones y/o aportes por parte de ADRES</v>
      </c>
      <c r="H155" s="224" t="str">
        <f>+'Plan de Accion Misional'!X23</f>
        <v># Documentos (Proyectos de decreto y resolución del MSPS) con observaciones y/o aportes por parte de ADRES elaborados</v>
      </c>
      <c r="I155" s="236"/>
      <c r="J155" s="219">
        <f>+'Plan de Accion Misional'!AG23</f>
        <v>0</v>
      </c>
      <c r="K155" s="885" t="str">
        <f>+'Plan de Accion Misional'!BR23</f>
        <v>No Prog ni Ejec</v>
      </c>
      <c r="L155" s="885" t="s">
        <v>204</v>
      </c>
      <c r="M155" s="885" t="s">
        <v>204</v>
      </c>
      <c r="N155" s="885" t="s">
        <v>204</v>
      </c>
      <c r="O155" s="886" t="s">
        <v>204</v>
      </c>
      <c r="P155" s="213"/>
      <c r="Q155" s="219">
        <f>+'Plan de Accion Misional'!AQ23</f>
        <v>0</v>
      </c>
      <c r="R155" s="248" t="str">
        <f>+'Plan de Accion Misional'!BT23</f>
        <v>No Prog ni Ejec</v>
      </c>
      <c r="S155" s="212" t="s">
        <v>204</v>
      </c>
      <c r="T155" s="885" t="s">
        <v>204</v>
      </c>
      <c r="U155" s="885" t="s">
        <v>204</v>
      </c>
      <c r="V155" s="211" t="str">
        <f t="shared" ref="V155:V157" si="122">+U155</f>
        <v>N.A</v>
      </c>
      <c r="W155" s="213"/>
      <c r="X155" s="219">
        <f>+'Plan de Accion Misional'!BA23</f>
        <v>0</v>
      </c>
      <c r="Y155" s="248" t="str">
        <f>+'Plan de Accion Misional'!BV23</f>
        <v>No Prog ni Ejec</v>
      </c>
      <c r="Z155" s="212" t="s">
        <v>204</v>
      </c>
      <c r="AA155" s="217" t="s">
        <v>204</v>
      </c>
      <c r="AB155" s="217" t="s">
        <v>204</v>
      </c>
      <c r="AC155" s="216" t="s">
        <v>204</v>
      </c>
      <c r="AD155" s="213"/>
      <c r="AE155" s="219">
        <f>+'Plan de Accion Misional'!BK23</f>
        <v>2</v>
      </c>
      <c r="AF155" s="248">
        <f>+'Plan de Accion Misional'!BX23</f>
        <v>1</v>
      </c>
      <c r="AG155" s="212">
        <f t="shared" ref="AG155:AG157" si="123">IF(AF155&gt;100%,100%,AF155)</f>
        <v>1</v>
      </c>
      <c r="AH155" s="248">
        <f>+'Plan de Accion Misional'!BO23</f>
        <v>1</v>
      </c>
      <c r="AI155" s="211">
        <f t="shared" ref="AI155:AI157" si="124">IF(AH155&gt;100%,100%,AH155)</f>
        <v>1</v>
      </c>
      <c r="AJ155" s="1482"/>
      <c r="AK155" s="1167"/>
      <c r="AL155" s="1511"/>
      <c r="AM155" s="1488"/>
      <c r="AN155" s="204"/>
      <c r="AO155" s="1511"/>
      <c r="AP155" s="1488"/>
      <c r="AQ155" s="204"/>
      <c r="AR155" s="1511"/>
      <c r="AS155" s="1488"/>
      <c r="AT155" s="204"/>
      <c r="AU155" s="1511"/>
      <c r="AV155" s="1488"/>
      <c r="AW155" s="202"/>
      <c r="AX155" s="1507"/>
      <c r="AY155" s="235"/>
      <c r="AZ155" s="1511"/>
      <c r="BA155" s="1488"/>
      <c r="BB155" s="204"/>
      <c r="BC155" s="1511"/>
      <c r="BD155" s="1488"/>
      <c r="BE155" s="204"/>
      <c r="BF155" s="1511"/>
      <c r="BG155" s="1488"/>
      <c r="BH155" s="204"/>
      <c r="BI155" s="1511"/>
      <c r="BJ155" s="1488"/>
      <c r="BK155" s="202"/>
      <c r="BL155" s="1507"/>
      <c r="BN155" s="1511"/>
      <c r="BO155" s="1488"/>
      <c r="BP155" s="204"/>
      <c r="BQ155" s="1511"/>
      <c r="BR155" s="1488"/>
      <c r="BS155" s="204"/>
      <c r="BT155" s="1511"/>
      <c r="BU155" s="1488"/>
      <c r="BV155" s="204"/>
      <c r="BW155" s="1511"/>
      <c r="BX155" s="1488"/>
      <c r="BY155" s="202"/>
      <c r="BZ155" s="1507"/>
      <c r="CB155" s="1511"/>
      <c r="CC155" s="1488"/>
      <c r="CD155" s="204"/>
      <c r="CE155" s="1511"/>
      <c r="CF155" s="1488"/>
      <c r="CG155" s="204"/>
      <c r="CH155" s="1511"/>
      <c r="CI155" s="1488"/>
      <c r="CJ155" s="204"/>
      <c r="CK155" s="1511"/>
      <c r="CL155" s="1488"/>
      <c r="CM155" s="202"/>
      <c r="CN155" s="1507"/>
    </row>
    <row r="156" spans="2:94" ht="57" customHeight="1" x14ac:dyDescent="0.25">
      <c r="B156" s="1589"/>
      <c r="C156" s="1471"/>
      <c r="D156" s="1596"/>
      <c r="E156" s="1440"/>
      <c r="F156" s="1443"/>
      <c r="G156" s="887" t="str">
        <f>+'Plan de Accion Misional'!K24</f>
        <v>Documento con insumos, recomendaciones, observaciones o  propuestas metodológicas frente a la implementación del mecanismo de techos  o presupuesto máximos.</v>
      </c>
      <c r="H156" s="224" t="str">
        <f>+'Plan de Accion Misional'!X24</f>
        <v># Documento con insumos, recomendaciones, observaciones o  propuestas metodológicas frente a la implementación del mecanismo de techos  o presupuesto máximos, remitidos al MSPS</v>
      </c>
      <c r="I156" s="236"/>
      <c r="J156" s="219">
        <f>+'Plan de Accion Misional'!AG24</f>
        <v>0</v>
      </c>
      <c r="K156" s="885" t="str">
        <f>+'Plan de Accion Misional'!BR24</f>
        <v>No Prog ni Ejec</v>
      </c>
      <c r="L156" s="885" t="s">
        <v>204</v>
      </c>
      <c r="M156" s="885" t="s">
        <v>204</v>
      </c>
      <c r="N156" s="885" t="s">
        <v>204</v>
      </c>
      <c r="O156" s="886" t="s">
        <v>204</v>
      </c>
      <c r="P156" s="213"/>
      <c r="Q156" s="219">
        <f>+'Plan de Accion Misional'!AQ24</f>
        <v>0</v>
      </c>
      <c r="R156" s="248" t="str">
        <f>+'Plan de Accion Misional'!BT24</f>
        <v>No Prog ni Ejec</v>
      </c>
      <c r="S156" s="212" t="s">
        <v>204</v>
      </c>
      <c r="T156" s="885" t="s">
        <v>204</v>
      </c>
      <c r="U156" s="885" t="s">
        <v>204</v>
      </c>
      <c r="V156" s="211" t="str">
        <f t="shared" si="122"/>
        <v>N.A</v>
      </c>
      <c r="W156" s="213"/>
      <c r="X156" s="219">
        <f>+'Plan de Accion Misional'!BA24</f>
        <v>0</v>
      </c>
      <c r="Y156" s="248" t="str">
        <f>+'Plan de Accion Misional'!BV24</f>
        <v>No Prog ni Ejec</v>
      </c>
      <c r="Z156" s="212" t="s">
        <v>204</v>
      </c>
      <c r="AA156" s="217" t="s">
        <v>204</v>
      </c>
      <c r="AB156" s="217" t="s">
        <v>204</v>
      </c>
      <c r="AC156" s="216" t="s">
        <v>204</v>
      </c>
      <c r="AD156" s="213"/>
      <c r="AE156" s="219">
        <f>+'Plan de Accion Misional'!BK24</f>
        <v>2</v>
      </c>
      <c r="AF156" s="248">
        <f>+'Plan de Accion Misional'!BX24</f>
        <v>1</v>
      </c>
      <c r="AG156" s="212">
        <f t="shared" si="123"/>
        <v>1</v>
      </c>
      <c r="AH156" s="248">
        <f>+'Plan de Accion Misional'!BO24</f>
        <v>1</v>
      </c>
      <c r="AI156" s="211">
        <f t="shared" si="124"/>
        <v>1</v>
      </c>
      <c r="AJ156" s="1482"/>
      <c r="AK156" s="1167"/>
      <c r="AL156" s="1511"/>
      <c r="AM156" s="1488"/>
      <c r="AN156" s="204"/>
      <c r="AO156" s="1511"/>
      <c r="AP156" s="1488"/>
      <c r="AQ156" s="204"/>
      <c r="AR156" s="1511"/>
      <c r="AS156" s="1488"/>
      <c r="AT156" s="204"/>
      <c r="AU156" s="1511"/>
      <c r="AV156" s="1488"/>
      <c r="AW156" s="202"/>
      <c r="AX156" s="1507"/>
      <c r="AY156" s="235"/>
      <c r="AZ156" s="1511"/>
      <c r="BA156" s="1488"/>
      <c r="BB156" s="204"/>
      <c r="BC156" s="1511"/>
      <c r="BD156" s="1488"/>
      <c r="BE156" s="204"/>
      <c r="BF156" s="1511"/>
      <c r="BG156" s="1488"/>
      <c r="BH156" s="204"/>
      <c r="BI156" s="1511"/>
      <c r="BJ156" s="1488"/>
      <c r="BK156" s="202"/>
      <c r="BL156" s="1507"/>
      <c r="BN156" s="1511"/>
      <c r="BO156" s="1488"/>
      <c r="BP156" s="204"/>
      <c r="BQ156" s="1511"/>
      <c r="BR156" s="1488"/>
      <c r="BS156" s="204"/>
      <c r="BT156" s="1511"/>
      <c r="BU156" s="1488"/>
      <c r="BV156" s="204"/>
      <c r="BW156" s="1511"/>
      <c r="BX156" s="1488"/>
      <c r="BY156" s="202"/>
      <c r="BZ156" s="1507"/>
      <c r="CB156" s="1511"/>
      <c r="CC156" s="1488"/>
      <c r="CD156" s="204"/>
      <c r="CE156" s="1511"/>
      <c r="CF156" s="1488"/>
      <c r="CG156" s="204"/>
      <c r="CH156" s="1511"/>
      <c r="CI156" s="1488"/>
      <c r="CJ156" s="204"/>
      <c r="CK156" s="1511"/>
      <c r="CL156" s="1488"/>
      <c r="CM156" s="202"/>
      <c r="CN156" s="1507"/>
    </row>
    <row r="157" spans="2:94" ht="57" customHeight="1" x14ac:dyDescent="0.25">
      <c r="B157" s="1589"/>
      <c r="C157" s="1460"/>
      <c r="D157" s="1597"/>
      <c r="E157" s="1441"/>
      <c r="F157" s="1444"/>
      <c r="G157" s="887" t="str">
        <f>+'Plan de Accion Misional'!K25</f>
        <v xml:space="preserve">Proyecto de resolución de la ADRES para adoptar los lineamientos y específicas técnicas y operativas para la implementación del mecanismo de techos  o presupuesto máximos. </v>
      </c>
      <c r="H157" s="224" t="str">
        <f>+'Plan de Accion Misional'!X25</f>
        <v xml:space="preserve"># Proyecto de resolución de la ADRES para adoptar los lineamientos y específicas técnicas y operativas elaborados. </v>
      </c>
      <c r="I157" s="236"/>
      <c r="J157" s="219">
        <f>+'Plan de Accion Misional'!AG25</f>
        <v>0</v>
      </c>
      <c r="K157" s="885" t="str">
        <f>+'Plan de Accion Misional'!BR25</f>
        <v>No Prog ni Ejec</v>
      </c>
      <c r="L157" s="885" t="s">
        <v>204</v>
      </c>
      <c r="M157" s="885" t="s">
        <v>204</v>
      </c>
      <c r="N157" s="885" t="s">
        <v>204</v>
      </c>
      <c r="O157" s="886" t="s">
        <v>204</v>
      </c>
      <c r="P157" s="213"/>
      <c r="Q157" s="219">
        <f>+'Plan de Accion Misional'!AQ25</f>
        <v>0</v>
      </c>
      <c r="R157" s="248" t="str">
        <f>+'Plan de Accion Misional'!BT25</f>
        <v>No Prog ni Ejec</v>
      </c>
      <c r="S157" s="212" t="s">
        <v>204</v>
      </c>
      <c r="T157" s="885" t="s">
        <v>204</v>
      </c>
      <c r="U157" s="885" t="s">
        <v>204</v>
      </c>
      <c r="V157" s="211" t="str">
        <f t="shared" si="122"/>
        <v>N.A</v>
      </c>
      <c r="W157" s="213"/>
      <c r="X157" s="219">
        <f>+'Plan de Accion Misional'!BA25</f>
        <v>0</v>
      </c>
      <c r="Y157" s="248" t="str">
        <f>+'Plan de Accion Misional'!BV25</f>
        <v>No Prog ni Ejec</v>
      </c>
      <c r="Z157" s="212" t="s">
        <v>204</v>
      </c>
      <c r="AA157" s="217" t="s">
        <v>204</v>
      </c>
      <c r="AB157" s="217" t="s">
        <v>204</v>
      </c>
      <c r="AC157" s="216" t="s">
        <v>204</v>
      </c>
      <c r="AD157" s="213"/>
      <c r="AE157" s="219">
        <f>+'Plan de Accion Misional'!BK25</f>
        <v>1</v>
      </c>
      <c r="AF157" s="248">
        <f>+'Plan de Accion Misional'!BX25</f>
        <v>1</v>
      </c>
      <c r="AG157" s="212">
        <f t="shared" si="123"/>
        <v>1</v>
      </c>
      <c r="AH157" s="248">
        <f>+'Plan de Accion Misional'!BO25</f>
        <v>1</v>
      </c>
      <c r="AI157" s="211">
        <f t="shared" si="124"/>
        <v>1</v>
      </c>
      <c r="AJ157" s="1482"/>
      <c r="AK157" s="1167"/>
      <c r="AL157" s="1511"/>
      <c r="AM157" s="1488"/>
      <c r="AN157" s="204"/>
      <c r="AO157" s="1511"/>
      <c r="AP157" s="1488"/>
      <c r="AQ157" s="204"/>
      <c r="AR157" s="1511"/>
      <c r="AS157" s="1488"/>
      <c r="AT157" s="204"/>
      <c r="AU157" s="1511"/>
      <c r="AV157" s="1488"/>
      <c r="AW157" s="202"/>
      <c r="AX157" s="1507"/>
      <c r="AY157" s="235"/>
      <c r="AZ157" s="1511"/>
      <c r="BA157" s="1488"/>
      <c r="BB157" s="204"/>
      <c r="BC157" s="1511"/>
      <c r="BD157" s="1488"/>
      <c r="BE157" s="204"/>
      <c r="BF157" s="1511"/>
      <c r="BG157" s="1488"/>
      <c r="BH157" s="204"/>
      <c r="BI157" s="1511"/>
      <c r="BJ157" s="1488"/>
      <c r="BK157" s="202"/>
      <c r="BL157" s="1507"/>
      <c r="BN157" s="1511"/>
      <c r="BO157" s="1488"/>
      <c r="BP157" s="204"/>
      <c r="BQ157" s="1511"/>
      <c r="BR157" s="1488"/>
      <c r="BS157" s="204"/>
      <c r="BT157" s="1511"/>
      <c r="BU157" s="1488"/>
      <c r="BV157" s="204"/>
      <c r="BW157" s="1511"/>
      <c r="BX157" s="1488"/>
      <c r="BY157" s="202"/>
      <c r="BZ157" s="1507"/>
      <c r="CB157" s="1511"/>
      <c r="CC157" s="1488"/>
      <c r="CD157" s="204"/>
      <c r="CE157" s="1511"/>
      <c r="CF157" s="1488"/>
      <c r="CG157" s="204"/>
      <c r="CH157" s="1511"/>
      <c r="CI157" s="1488"/>
      <c r="CJ157" s="204"/>
      <c r="CK157" s="1511"/>
      <c r="CL157" s="1488"/>
      <c r="CM157" s="202"/>
      <c r="CN157" s="1507"/>
    </row>
    <row r="158" spans="2:94" ht="105" customHeight="1" x14ac:dyDescent="0.25">
      <c r="B158" s="1589"/>
      <c r="C158" s="336" t="s">
        <v>402</v>
      </c>
      <c r="D158" s="307" t="s">
        <v>1171</v>
      </c>
      <c r="E158" s="308" t="s">
        <v>12</v>
      </c>
      <c r="F158" s="301" t="s">
        <v>330</v>
      </c>
      <c r="G158" s="308" t="str">
        <f>+'Plan de Accion Proyectos estrat'!K35</f>
        <v>Informe de análisis sobre procesos o tecnologías reconocidas por la ADRES</v>
      </c>
      <c r="H158" s="224" t="str">
        <f>+'Plan de Accion Proyectos estrat'!X35</f>
        <v>#  Informes de análisis sobre procesos o tecnologías reconocidas por la ADRES</v>
      </c>
      <c r="I158" s="236"/>
      <c r="J158" s="218">
        <f>+'Plan de Accion Proyectos estrat'!AG35</f>
        <v>2</v>
      </c>
      <c r="K158" s="476">
        <f>+'Plan de Accion Proyectos estrat'!BR35</f>
        <v>1</v>
      </c>
      <c r="L158" s="476">
        <f t="shared" si="119"/>
        <v>1</v>
      </c>
      <c r="M158" s="476">
        <f>+'Plan de Accion Proyectos estrat'!AK35</f>
        <v>0.25</v>
      </c>
      <c r="N158" s="476">
        <f t="shared" si="117"/>
        <v>0.25</v>
      </c>
      <c r="O158" s="478">
        <f t="shared" si="118"/>
        <v>0.25</v>
      </c>
      <c r="P158" s="213"/>
      <c r="Q158" s="218">
        <f>+'Plan de Accion Proyectos estrat'!AQ35</f>
        <v>2</v>
      </c>
      <c r="R158" s="304">
        <f>+'Plan de Accion Proyectos estrat'!AS35</f>
        <v>1</v>
      </c>
      <c r="S158" s="212">
        <f t="shared" si="120"/>
        <v>1</v>
      </c>
      <c r="T158" s="304">
        <f>+'Plan de Accion Proyectos estrat'!AU35</f>
        <v>0.5</v>
      </c>
      <c r="U158" s="304">
        <f t="shared" si="121"/>
        <v>0.5</v>
      </c>
      <c r="V158" s="211">
        <f t="shared" si="111"/>
        <v>0.5</v>
      </c>
      <c r="W158" s="213"/>
      <c r="X158" s="218">
        <f>+'Plan de Accion Proyectos estrat'!BA35</f>
        <v>2</v>
      </c>
      <c r="Y158" s="304">
        <f>+'Plan de Accion Proyectos estrat'!BC35</f>
        <v>1</v>
      </c>
      <c r="Z158" s="212">
        <f t="shared" si="112"/>
        <v>1</v>
      </c>
      <c r="AA158" s="217">
        <f>+'Plan de Accion Proyectos estrat'!BE35</f>
        <v>0.75</v>
      </c>
      <c r="AB158" s="217">
        <f t="shared" si="113"/>
        <v>0.75</v>
      </c>
      <c r="AC158" s="216">
        <f t="shared" si="114"/>
        <v>0.75</v>
      </c>
      <c r="AD158" s="213"/>
      <c r="AE158" s="219">
        <f>+'Plan de Accion Proyectos estrat'!BK35</f>
        <v>2</v>
      </c>
      <c r="AF158" s="304">
        <f>+'Plan de Accion Proyectos estrat'!BM35</f>
        <v>1</v>
      </c>
      <c r="AG158" s="212">
        <f t="shared" si="115"/>
        <v>1</v>
      </c>
      <c r="AH158" s="304">
        <f>+'Plan de Accion Proyectos estrat'!BO35</f>
        <v>1</v>
      </c>
      <c r="AI158" s="211">
        <f t="shared" si="116"/>
        <v>1</v>
      </c>
      <c r="AJ158" s="1482"/>
      <c r="AK158" s="1167"/>
      <c r="AL158" s="1511"/>
      <c r="AM158" s="1488"/>
      <c r="AN158" s="204"/>
      <c r="AO158" s="1511"/>
      <c r="AP158" s="1488"/>
      <c r="AQ158" s="204"/>
      <c r="AR158" s="1511"/>
      <c r="AS158" s="1488"/>
      <c r="AT158" s="204"/>
      <c r="AU158" s="1511"/>
      <c r="AV158" s="1488"/>
      <c r="AW158" s="202"/>
      <c r="AX158" s="1507"/>
      <c r="AY158" s="235"/>
      <c r="AZ158" s="1511"/>
      <c r="BA158" s="1488"/>
      <c r="BB158" s="204"/>
      <c r="BC158" s="1511"/>
      <c r="BD158" s="1488"/>
      <c r="BE158" s="204"/>
      <c r="BF158" s="1511"/>
      <c r="BG158" s="1488"/>
      <c r="BH158" s="204"/>
      <c r="BI158" s="1511"/>
      <c r="BJ158" s="1488"/>
      <c r="BK158" s="202"/>
      <c r="BL158" s="1507"/>
      <c r="BN158" s="1511"/>
      <c r="BO158" s="1488"/>
      <c r="BP158" s="204"/>
      <c r="BQ158" s="1511"/>
      <c r="BR158" s="1488"/>
      <c r="BS158" s="204"/>
      <c r="BT158" s="1511"/>
      <c r="BU158" s="1488"/>
      <c r="BV158" s="204"/>
      <c r="BW158" s="1511"/>
      <c r="BX158" s="1488"/>
      <c r="BY158" s="202"/>
      <c r="BZ158" s="1507"/>
      <c r="CB158" s="1511"/>
      <c r="CC158" s="1488"/>
      <c r="CD158" s="204"/>
      <c r="CE158" s="1511"/>
      <c r="CF158" s="1488"/>
      <c r="CG158" s="204"/>
      <c r="CH158" s="1511"/>
      <c r="CI158" s="1488"/>
      <c r="CJ158" s="204"/>
      <c r="CK158" s="1511"/>
      <c r="CL158" s="1488"/>
      <c r="CM158" s="202"/>
      <c r="CN158" s="1507"/>
    </row>
    <row r="159" spans="2:94" ht="94.5" customHeight="1" x14ac:dyDescent="0.2">
      <c r="B159" s="1589"/>
      <c r="C159" s="1459" t="s">
        <v>60</v>
      </c>
      <c r="D159" s="1436" t="s">
        <v>204</v>
      </c>
      <c r="E159" s="1439" t="s">
        <v>125</v>
      </c>
      <c r="F159" s="1442" t="s">
        <v>330</v>
      </c>
      <c r="G159" s="315" t="str">
        <f>+'Plan de Accion Misional'!K9</f>
        <v>Cobro efectivo de las acreencias por todo concepto a favor de la Administradora de los Recursos del Sistema General de Seguridad Social en Salud – ADRES.</v>
      </c>
      <c r="H159" s="215" t="str">
        <f>+'Plan de Accion Misional'!X9</f>
        <v xml:space="preserve"># Resoluciones que ordenan el cobro </v>
      </c>
      <c r="J159" s="218">
        <f>+'Plan de Accion Misional'!AG9</f>
        <v>2287</v>
      </c>
      <c r="K159" s="476">
        <f>+'Plan de Accion Misional'!BR9</f>
        <v>2.8587500000000001</v>
      </c>
      <c r="L159" s="476">
        <f t="shared" si="119"/>
        <v>1</v>
      </c>
      <c r="M159" s="476">
        <f>+'Plan de Accion Misional'!AK9</f>
        <v>0.51977272727272728</v>
      </c>
      <c r="N159" s="476">
        <f>IF(M159&gt;100%,100%,M159)</f>
        <v>0.51977272727272728</v>
      </c>
      <c r="O159" s="478">
        <f t="shared" si="118"/>
        <v>0.51977272727272728</v>
      </c>
      <c r="P159" s="213"/>
      <c r="Q159" s="218" t="s">
        <v>204</v>
      </c>
      <c r="R159" s="248" t="s">
        <v>180</v>
      </c>
      <c r="S159" s="212" t="s">
        <v>204</v>
      </c>
      <c r="T159" s="650">
        <f>+'Plan de Accion Misional'!AU9</f>
        <v>0.51977272727272728</v>
      </c>
      <c r="U159" s="650">
        <f>IF(T159&gt;100%,100%,T159)</f>
        <v>0.51977272727272728</v>
      </c>
      <c r="V159" s="211">
        <f>+U159</f>
        <v>0.51977272727272728</v>
      </c>
      <c r="W159" s="213"/>
      <c r="X159" s="218" t="s">
        <v>204</v>
      </c>
      <c r="Y159" s="248" t="s">
        <v>180</v>
      </c>
      <c r="Z159" s="212" t="s">
        <v>204</v>
      </c>
      <c r="AA159" s="217">
        <f>+'Plan de Accion Misional'!BE9</f>
        <v>0.51977272727272728</v>
      </c>
      <c r="AB159" s="217">
        <f>IF(AA159&gt;100%,100%,AA159)</f>
        <v>0.51977272727272728</v>
      </c>
      <c r="AC159" s="216">
        <f>+AB159</f>
        <v>0.51977272727272728</v>
      </c>
      <c r="AD159" s="213"/>
      <c r="AE159" s="219" t="s">
        <v>204</v>
      </c>
      <c r="AF159" s="248" t="s">
        <v>180</v>
      </c>
      <c r="AG159" s="212" t="s">
        <v>204</v>
      </c>
      <c r="AH159" s="248">
        <f>+'Plan de Accion Misional'!BO9</f>
        <v>0.51977272727272728</v>
      </c>
      <c r="AI159" s="211">
        <f t="shared" si="116"/>
        <v>0.51977272727272728</v>
      </c>
      <c r="AJ159" s="1482"/>
      <c r="AK159" s="1167"/>
      <c r="AL159" s="1511"/>
      <c r="AM159" s="1488"/>
      <c r="AN159" s="204"/>
      <c r="AO159" s="1511"/>
      <c r="AP159" s="1488"/>
      <c r="AQ159" s="204"/>
      <c r="AR159" s="1511"/>
      <c r="AS159" s="1488"/>
      <c r="AT159" s="204"/>
      <c r="AU159" s="1511"/>
      <c r="AV159" s="1488"/>
      <c r="AW159" s="202"/>
      <c r="AX159" s="1507"/>
      <c r="AY159" s="235"/>
      <c r="AZ159" s="1511"/>
      <c r="BA159" s="1488"/>
      <c r="BB159" s="204"/>
      <c r="BC159" s="1511"/>
      <c r="BD159" s="1488"/>
      <c r="BE159" s="204"/>
      <c r="BF159" s="1511"/>
      <c r="BG159" s="1488"/>
      <c r="BH159" s="204"/>
      <c r="BI159" s="1511"/>
      <c r="BJ159" s="1488"/>
      <c r="BK159" s="202"/>
      <c r="BL159" s="1507"/>
      <c r="BN159" s="1511"/>
      <c r="BO159" s="1488"/>
      <c r="BP159" s="204"/>
      <c r="BQ159" s="1511"/>
      <c r="BR159" s="1488"/>
      <c r="BS159" s="204"/>
      <c r="BT159" s="1511"/>
      <c r="BU159" s="1488"/>
      <c r="BV159" s="204"/>
      <c r="BW159" s="1511"/>
      <c r="BX159" s="1488"/>
      <c r="BY159" s="202"/>
      <c r="BZ159" s="1507"/>
      <c r="CB159" s="1511"/>
      <c r="CC159" s="1488"/>
      <c r="CD159" s="204"/>
      <c r="CE159" s="1511"/>
      <c r="CF159" s="1488"/>
      <c r="CG159" s="204"/>
      <c r="CH159" s="1511"/>
      <c r="CI159" s="1488"/>
      <c r="CJ159" s="204"/>
      <c r="CK159" s="1511"/>
      <c r="CL159" s="1488"/>
      <c r="CM159" s="202"/>
      <c r="CN159" s="1507"/>
    </row>
    <row r="160" spans="2:94" ht="94.5" customHeight="1" x14ac:dyDescent="0.2">
      <c r="B160" s="1589"/>
      <c r="C160" s="1471"/>
      <c r="D160" s="1437"/>
      <c r="E160" s="1440"/>
      <c r="F160" s="1443"/>
      <c r="G160" s="550" t="str">
        <f>+'Plan de Accion Misional'!K21</f>
        <v>Reclamaciones de cobro coactivo gestionadas</v>
      </c>
      <c r="H160" s="215" t="str">
        <f>+'Plan de Accion Misional'!X21</f>
        <v># Reclamaciones de cobro coactivo gestionadas</v>
      </c>
      <c r="J160" s="218">
        <f>+'Plan de Accion Misional'!AG21</f>
        <v>0</v>
      </c>
      <c r="K160" s="544" t="str">
        <f>+'Plan de Accion Misional'!BR21</f>
        <v>No Prog ni Ejec</v>
      </c>
      <c r="L160" s="544" t="s">
        <v>204</v>
      </c>
      <c r="M160" s="544">
        <f>+'Plan de Accion Misional'!AK21</f>
        <v>0</v>
      </c>
      <c r="N160" s="544">
        <f t="shared" ref="N160" si="125">IF(M160&gt;100%,100%,M160)</f>
        <v>0</v>
      </c>
      <c r="O160" s="546" t="s">
        <v>204</v>
      </c>
      <c r="P160" s="213"/>
      <c r="Q160" s="218">
        <f>+'Plan de Accion Misional'!AQ21</f>
        <v>0</v>
      </c>
      <c r="R160" s="248" t="str">
        <f>+'Plan de Accion Misional'!BT21</f>
        <v>No Prog ni Ejec</v>
      </c>
      <c r="S160" s="212" t="s">
        <v>204</v>
      </c>
      <c r="T160" s="544">
        <f>+'Plan de Accion Misional'!AU21</f>
        <v>0</v>
      </c>
      <c r="U160" s="544">
        <f t="shared" ref="U160" si="126">IF(T160&gt;100%,100%,T160)</f>
        <v>0</v>
      </c>
      <c r="V160" s="211" t="s">
        <v>204</v>
      </c>
      <c r="W160" s="213"/>
      <c r="X160" s="218">
        <f>+'Plan de Accion Misional'!BA21</f>
        <v>0</v>
      </c>
      <c r="Y160" s="248" t="str">
        <f>+'Plan de Accion Misional'!BV21</f>
        <v>No Prog ni Ejec</v>
      </c>
      <c r="Z160" s="212" t="s">
        <v>204</v>
      </c>
      <c r="AA160" s="217">
        <f>+'Plan de Accion Misional'!BE21</f>
        <v>0</v>
      </c>
      <c r="AB160" s="217">
        <f t="shared" ref="AB160" si="127">IF(AA160&gt;100%,100%,AA160)</f>
        <v>0</v>
      </c>
      <c r="AC160" s="216" t="s">
        <v>204</v>
      </c>
      <c r="AD160" s="213"/>
      <c r="AE160" s="219">
        <f>+'Plan de Accion Misional'!BK21</f>
        <v>111594</v>
      </c>
      <c r="AF160" s="248">
        <f>+'Plan de Accion Misional'!BX21</f>
        <v>1.0834368932038836</v>
      </c>
      <c r="AG160" s="212">
        <f>IF(AF160&gt;100%,100%,AF160)</f>
        <v>1</v>
      </c>
      <c r="AH160" s="248">
        <f>+'Plan de Accion Misional'!BO21</f>
        <v>1.0834368932038836</v>
      </c>
      <c r="AI160" s="211">
        <f t="shared" ref="AI160:AI161" si="128">IF(AH160&gt;100%,100%,AH160)</f>
        <v>1</v>
      </c>
      <c r="AJ160" s="1482"/>
      <c r="AK160" s="1167">
        <v>1</v>
      </c>
      <c r="AL160" s="1511"/>
      <c r="AM160" s="1488"/>
      <c r="AN160" s="204"/>
      <c r="AO160" s="1511"/>
      <c r="AP160" s="1488"/>
      <c r="AQ160" s="204"/>
      <c r="AR160" s="1511"/>
      <c r="AS160" s="1488"/>
      <c r="AT160" s="204"/>
      <c r="AU160" s="1511"/>
      <c r="AV160" s="1488"/>
      <c r="AW160" s="202"/>
      <c r="AX160" s="1507"/>
      <c r="AY160" s="235"/>
      <c r="AZ160" s="1511"/>
      <c r="BA160" s="1488"/>
      <c r="BB160" s="204"/>
      <c r="BC160" s="1511"/>
      <c r="BD160" s="1488"/>
      <c r="BE160" s="204"/>
      <c r="BF160" s="1511"/>
      <c r="BG160" s="1488"/>
      <c r="BH160" s="204"/>
      <c r="BI160" s="1511"/>
      <c r="BJ160" s="1488"/>
      <c r="BK160" s="202"/>
      <c r="BL160" s="1507"/>
      <c r="BN160" s="1511"/>
      <c r="BO160" s="1488"/>
      <c r="BP160" s="204"/>
      <c r="BQ160" s="1511"/>
      <c r="BR160" s="1488"/>
      <c r="BS160" s="204"/>
      <c r="BT160" s="1511"/>
      <c r="BU160" s="1488"/>
      <c r="BV160" s="204"/>
      <c r="BW160" s="1511"/>
      <c r="BX160" s="1488"/>
      <c r="BY160" s="202"/>
      <c r="BZ160" s="1507"/>
      <c r="CB160" s="1511"/>
      <c r="CC160" s="1488"/>
      <c r="CD160" s="204"/>
      <c r="CE160" s="1511"/>
      <c r="CF160" s="1488"/>
      <c r="CG160" s="204"/>
      <c r="CH160" s="1511"/>
      <c r="CI160" s="1488"/>
      <c r="CJ160" s="204"/>
      <c r="CK160" s="1511"/>
      <c r="CL160" s="1488"/>
      <c r="CM160" s="202"/>
      <c r="CN160" s="1507"/>
    </row>
    <row r="161" spans="2:92" ht="33" customHeight="1" x14ac:dyDescent="0.2">
      <c r="B161" s="1589"/>
      <c r="C161" s="1471"/>
      <c r="D161" s="1437"/>
      <c r="E161" s="1440"/>
      <c r="F161" s="1443"/>
      <c r="G161" s="315" t="str">
        <f>+'Plan de Accion Misional'!K10</f>
        <v>Comunicaciones enviadas</v>
      </c>
      <c r="H161" s="215" t="str">
        <f>+'Plan de Accion Misional'!X10</f>
        <v># Comunicaciones enviadas</v>
      </c>
      <c r="J161" s="218">
        <f>+'Plan de Accion Misional'!AG10</f>
        <v>0</v>
      </c>
      <c r="K161" s="476">
        <f>+'Plan de Accion Misional'!BR10</f>
        <v>0</v>
      </c>
      <c r="L161" s="476">
        <f t="shared" si="119"/>
        <v>0</v>
      </c>
      <c r="M161" s="476">
        <f>+'Plan de Accion Misional'!AK10</f>
        <v>0</v>
      </c>
      <c r="N161" s="476">
        <f t="shared" si="117"/>
        <v>0</v>
      </c>
      <c r="O161" s="478">
        <f t="shared" si="118"/>
        <v>0</v>
      </c>
      <c r="P161" s="213"/>
      <c r="Q161" s="218" t="s">
        <v>204</v>
      </c>
      <c r="R161" s="248" t="s">
        <v>180</v>
      </c>
      <c r="S161" s="212" t="s">
        <v>204</v>
      </c>
      <c r="T161" s="673">
        <f>+'Plan de Accion Misional'!AU10</f>
        <v>0</v>
      </c>
      <c r="U161" s="673">
        <f>IF(T161&gt;100%,100%,T161)</f>
        <v>0</v>
      </c>
      <c r="V161" s="211">
        <f>+U161</f>
        <v>0</v>
      </c>
      <c r="W161" s="213"/>
      <c r="X161" s="218" t="s">
        <v>204</v>
      </c>
      <c r="Y161" s="248" t="s">
        <v>180</v>
      </c>
      <c r="Z161" s="212" t="s">
        <v>204</v>
      </c>
      <c r="AA161" s="217">
        <f>+'Plan de Accion Misional'!BE10</f>
        <v>0</v>
      </c>
      <c r="AB161" s="217">
        <f>IF(AA161&gt;100%,100%,AA161)</f>
        <v>0</v>
      </c>
      <c r="AC161" s="216">
        <f>+AB161</f>
        <v>0</v>
      </c>
      <c r="AD161" s="213"/>
      <c r="AE161" s="219" t="s">
        <v>204</v>
      </c>
      <c r="AF161" s="248" t="s">
        <v>180</v>
      </c>
      <c r="AG161" s="212" t="s">
        <v>204</v>
      </c>
      <c r="AH161" s="248">
        <f>+'Plan de Accion Misional'!BO10</f>
        <v>0</v>
      </c>
      <c r="AI161" s="211">
        <f t="shared" si="128"/>
        <v>0</v>
      </c>
      <c r="AJ161" s="1482"/>
      <c r="AK161" s="1167"/>
      <c r="AL161" s="1511"/>
      <c r="AM161" s="1488"/>
      <c r="AN161" s="204"/>
      <c r="AO161" s="1511"/>
      <c r="AP161" s="1488"/>
      <c r="AQ161" s="204"/>
      <c r="AR161" s="1511"/>
      <c r="AS161" s="1488"/>
      <c r="AT161" s="204"/>
      <c r="AU161" s="1511"/>
      <c r="AV161" s="1488"/>
      <c r="AW161" s="202"/>
      <c r="AX161" s="1507"/>
      <c r="AY161" s="235"/>
      <c r="AZ161" s="1511"/>
      <c r="BA161" s="1488"/>
      <c r="BB161" s="204"/>
      <c r="BC161" s="1511"/>
      <c r="BD161" s="1488"/>
      <c r="BE161" s="204"/>
      <c r="BF161" s="1511"/>
      <c r="BG161" s="1488"/>
      <c r="BH161" s="204"/>
      <c r="BI161" s="1511"/>
      <c r="BJ161" s="1488"/>
      <c r="BK161" s="202"/>
      <c r="BL161" s="1507"/>
      <c r="BN161" s="1511"/>
      <c r="BO161" s="1488"/>
      <c r="BP161" s="204"/>
      <c r="BQ161" s="1511"/>
      <c r="BR161" s="1488"/>
      <c r="BS161" s="204"/>
      <c r="BT161" s="1511"/>
      <c r="BU161" s="1488"/>
      <c r="BV161" s="204"/>
      <c r="BW161" s="1511"/>
      <c r="BX161" s="1488"/>
      <c r="BY161" s="202"/>
      <c r="BZ161" s="1507"/>
      <c r="CB161" s="1511"/>
      <c r="CC161" s="1488"/>
      <c r="CD161" s="204"/>
      <c r="CE161" s="1511"/>
      <c r="CF161" s="1488"/>
      <c r="CG161" s="204"/>
      <c r="CH161" s="1511"/>
      <c r="CI161" s="1488"/>
      <c r="CJ161" s="204"/>
      <c r="CK161" s="1511"/>
      <c r="CL161" s="1488"/>
      <c r="CM161" s="202"/>
      <c r="CN161" s="1507"/>
    </row>
    <row r="162" spans="2:92" ht="105" customHeight="1" x14ac:dyDescent="0.2">
      <c r="B162" s="1589"/>
      <c r="C162" s="1460"/>
      <c r="D162" s="1438"/>
      <c r="E162" s="1441"/>
      <c r="F162" s="1444"/>
      <c r="G162" s="315" t="str">
        <f>+'Plan de Accion Misional'!K14</f>
        <v>Pago de la cartera vendida a CISA S.A de resoluciones ejecutoriadas con mas de 180 días</v>
      </c>
      <c r="H162" s="215" t="str">
        <f>+'Plan de Accion Misional'!X14</f>
        <v xml:space="preserve"># Reclamaciones perfiladas como de difícil recaudo / # Reclamaciones enviadas para estudio de compra a CISA  </v>
      </c>
      <c r="J162" s="214">
        <f>+'Plan de Accion Misional'!AG14</f>
        <v>0</v>
      </c>
      <c r="K162" s="476" t="str">
        <f>+'Plan de Accion Misional'!BR14</f>
        <v>No Prog ni Ejec</v>
      </c>
      <c r="L162" s="476" t="s">
        <v>204</v>
      </c>
      <c r="M162" s="476">
        <f>+'Plan de Accion Misional'!AK14</f>
        <v>0</v>
      </c>
      <c r="N162" s="476">
        <f t="shared" si="117"/>
        <v>0</v>
      </c>
      <c r="O162" s="478" t="s">
        <v>204</v>
      </c>
      <c r="P162" s="213"/>
      <c r="Q162" s="214">
        <f>+'Plan de Accion Misional'!AQ14</f>
        <v>0</v>
      </c>
      <c r="R162" s="248" t="str">
        <f>+'Plan de Accion Misional'!BT14</f>
        <v>No Prog ni Ejec</v>
      </c>
      <c r="S162" s="212" t="s">
        <v>204</v>
      </c>
      <c r="T162" s="304">
        <f>+'Plan de Accion Misional'!AU14</f>
        <v>0</v>
      </c>
      <c r="U162" s="304">
        <f t="shared" ref="U162:U171" si="129">IF(T162&gt;100%,100%,T162)</f>
        <v>0</v>
      </c>
      <c r="V162" s="211" t="s">
        <v>204</v>
      </c>
      <c r="W162" s="213"/>
      <c r="X162" s="214">
        <f>+'Plan de Accion Misional'!BA14</f>
        <v>0</v>
      </c>
      <c r="Y162" s="248" t="str">
        <f>+'Plan de Accion Misional'!BV14</f>
        <v>No Prog ni Ejec</v>
      </c>
      <c r="Z162" s="212" t="s">
        <v>204</v>
      </c>
      <c r="AA162" s="217">
        <f>+'Plan de Accion Misional'!BE14</f>
        <v>0</v>
      </c>
      <c r="AB162" s="217">
        <f t="shared" ref="AB162:AB171" si="130">IF(AA162&gt;100%,100%,AA162)</f>
        <v>0</v>
      </c>
      <c r="AC162" s="216" t="s">
        <v>204</v>
      </c>
      <c r="AD162" s="213"/>
      <c r="AE162" s="214">
        <f>+'Plan de Accion Misional'!BK14</f>
        <v>1</v>
      </c>
      <c r="AF162" s="248">
        <f>+'Plan de Accion Misional'!BX14</f>
        <v>1</v>
      </c>
      <c r="AG162" s="212">
        <f t="shared" ref="AG162:AG165" si="131">IF(AF162&gt;100%,100%,AF162)</f>
        <v>1</v>
      </c>
      <c r="AH162" s="248">
        <f>+'Plan de Accion Misional'!BO14</f>
        <v>1</v>
      </c>
      <c r="AI162" s="211">
        <f t="shared" ref="AI162:AI171" si="132">IF(AH162&gt;100%,100%,AH162)</f>
        <v>1</v>
      </c>
      <c r="AJ162" s="1482"/>
      <c r="AK162" s="1167"/>
      <c r="AL162" s="1511"/>
      <c r="AM162" s="1488"/>
      <c r="AN162" s="204"/>
      <c r="AO162" s="1511"/>
      <c r="AP162" s="1488"/>
      <c r="AQ162" s="204"/>
      <c r="AR162" s="1511"/>
      <c r="AS162" s="1488"/>
      <c r="AT162" s="204"/>
      <c r="AU162" s="1511"/>
      <c r="AV162" s="1488"/>
      <c r="AW162" s="202"/>
      <c r="AX162" s="1507"/>
      <c r="AY162" s="235"/>
      <c r="AZ162" s="1511"/>
      <c r="BA162" s="1488"/>
      <c r="BB162" s="204"/>
      <c r="BC162" s="1511"/>
      <c r="BD162" s="1488"/>
      <c r="BE162" s="204"/>
      <c r="BF162" s="1511"/>
      <c r="BG162" s="1488"/>
      <c r="BH162" s="204"/>
      <c r="BI162" s="1511"/>
      <c r="BJ162" s="1488"/>
      <c r="BK162" s="202"/>
      <c r="BL162" s="1507"/>
      <c r="BN162" s="1511"/>
      <c r="BO162" s="1488"/>
      <c r="BP162" s="204"/>
      <c r="BQ162" s="1511"/>
      <c r="BR162" s="1488"/>
      <c r="BS162" s="204"/>
      <c r="BT162" s="1511"/>
      <c r="BU162" s="1488"/>
      <c r="BV162" s="204"/>
      <c r="BW162" s="1511"/>
      <c r="BX162" s="1488"/>
      <c r="BY162" s="202"/>
      <c r="BZ162" s="1507"/>
      <c r="CB162" s="1511"/>
      <c r="CC162" s="1488"/>
      <c r="CD162" s="204"/>
      <c r="CE162" s="1511"/>
      <c r="CF162" s="1488"/>
      <c r="CG162" s="204"/>
      <c r="CH162" s="1511"/>
      <c r="CI162" s="1488"/>
      <c r="CJ162" s="204"/>
      <c r="CK162" s="1511"/>
      <c r="CL162" s="1488"/>
      <c r="CM162" s="202"/>
      <c r="CN162" s="1507"/>
    </row>
    <row r="163" spans="2:92" ht="50.1" customHeight="1" x14ac:dyDescent="0.2">
      <c r="B163" s="1589"/>
      <c r="C163" s="1479" t="s">
        <v>59</v>
      </c>
      <c r="D163" s="1436" t="s">
        <v>204</v>
      </c>
      <c r="E163" s="1442" t="s">
        <v>1174</v>
      </c>
      <c r="F163" s="1442" t="s">
        <v>330</v>
      </c>
      <c r="G163" s="322" t="str">
        <f>+'Plan de Accion Misional'!K16</f>
        <v>Publicación  Ejecución Presupuestal</v>
      </c>
      <c r="H163" s="215" t="str">
        <f>+'Plan de Accion Misional'!X16</f>
        <v># Ejecuciones Presupuestales Publicadas</v>
      </c>
      <c r="J163" s="219">
        <f>+'Plan de Accion Misional'!AG16</f>
        <v>3</v>
      </c>
      <c r="K163" s="476">
        <f>+'Plan de Accion Misional'!BR16</f>
        <v>1</v>
      </c>
      <c r="L163" s="476">
        <f>IF(K163&gt;100%,100%,K163)</f>
        <v>1</v>
      </c>
      <c r="M163" s="476">
        <f>+'Plan de Accion Misional'!AK16</f>
        <v>0.25</v>
      </c>
      <c r="N163" s="476">
        <f>IF(M163&gt;100%,100%,M163)</f>
        <v>0.25</v>
      </c>
      <c r="O163" s="478">
        <f>+N163</f>
        <v>0.25</v>
      </c>
      <c r="P163" s="213"/>
      <c r="Q163" s="214">
        <f>+'Plan de Accion Misional'!AQ16</f>
        <v>3</v>
      </c>
      <c r="R163" s="248">
        <f>+'Plan de Accion Misional'!BT16</f>
        <v>1</v>
      </c>
      <c r="S163" s="212">
        <f>IF(R163&gt;100%,100%,R163)</f>
        <v>1</v>
      </c>
      <c r="T163" s="325">
        <f>+'Plan de Accion Misional'!AU16</f>
        <v>0.5</v>
      </c>
      <c r="U163" s="325">
        <f>IF(T163&gt;100%,100%,T163)</f>
        <v>0.5</v>
      </c>
      <c r="V163" s="211">
        <f>+U163</f>
        <v>0.5</v>
      </c>
      <c r="W163" s="213"/>
      <c r="X163" s="214">
        <f>+'Plan de Accion Misional'!BA16</f>
        <v>3</v>
      </c>
      <c r="Y163" s="248">
        <f>+'Plan de Accion Misional'!BV16</f>
        <v>1</v>
      </c>
      <c r="Z163" s="212">
        <f>IF(Y163&gt;100%,100%,Y163)</f>
        <v>1</v>
      </c>
      <c r="AA163" s="217">
        <f>+'Plan de Accion Misional'!BE16</f>
        <v>0.75</v>
      </c>
      <c r="AB163" s="217">
        <f>IF(AA163&gt;100%,100%,AA163)</f>
        <v>0.75</v>
      </c>
      <c r="AC163" s="216">
        <f>+AB163</f>
        <v>0.75</v>
      </c>
      <c r="AD163" s="213"/>
      <c r="AE163" s="214">
        <f>+'Plan de Accion Misional'!BK16</f>
        <v>3</v>
      </c>
      <c r="AF163" s="248">
        <f>+'Plan de Accion Misional'!BX16</f>
        <v>1</v>
      </c>
      <c r="AG163" s="212">
        <f t="shared" si="131"/>
        <v>1</v>
      </c>
      <c r="AH163" s="248">
        <f>+'Plan de Accion Misional'!BO16</f>
        <v>1</v>
      </c>
      <c r="AI163" s="211">
        <f>IF(AH163&gt;100%,100%,AH163)</f>
        <v>1</v>
      </c>
      <c r="AJ163" s="1482"/>
      <c r="AK163" s="1167"/>
      <c r="AL163" s="1511"/>
      <c r="AM163" s="1488"/>
      <c r="AN163" s="204"/>
      <c r="AO163" s="1511"/>
      <c r="AP163" s="1488"/>
      <c r="AQ163" s="204"/>
      <c r="AR163" s="1511"/>
      <c r="AS163" s="1488"/>
      <c r="AT163" s="204"/>
      <c r="AU163" s="1511"/>
      <c r="AV163" s="1488"/>
      <c r="AW163" s="202"/>
      <c r="AX163" s="1507"/>
      <c r="AY163" s="235"/>
      <c r="AZ163" s="1511"/>
      <c r="BA163" s="1488"/>
      <c r="BB163" s="204"/>
      <c r="BC163" s="1511"/>
      <c r="BD163" s="1488"/>
      <c r="BE163" s="204"/>
      <c r="BF163" s="1511"/>
      <c r="BG163" s="1488"/>
      <c r="BH163" s="204"/>
      <c r="BI163" s="1511"/>
      <c r="BJ163" s="1488"/>
      <c r="BK163" s="202"/>
      <c r="BL163" s="1507"/>
      <c r="BN163" s="1511"/>
      <c r="BO163" s="1488"/>
      <c r="BP163" s="204"/>
      <c r="BQ163" s="1511"/>
      <c r="BR163" s="1488"/>
      <c r="BS163" s="204"/>
      <c r="BT163" s="1511"/>
      <c r="BU163" s="1488"/>
      <c r="BV163" s="204"/>
      <c r="BW163" s="1511"/>
      <c r="BX163" s="1488"/>
      <c r="BY163" s="202"/>
      <c r="BZ163" s="1507"/>
      <c r="CB163" s="1511"/>
      <c r="CC163" s="1488"/>
      <c r="CD163" s="204"/>
      <c r="CE163" s="1511"/>
      <c r="CF163" s="1488"/>
      <c r="CG163" s="204"/>
      <c r="CH163" s="1511"/>
      <c r="CI163" s="1488"/>
      <c r="CJ163" s="204"/>
      <c r="CK163" s="1511"/>
      <c r="CL163" s="1488"/>
      <c r="CM163" s="202"/>
      <c r="CN163" s="1507"/>
    </row>
    <row r="164" spans="2:92" ht="50.1" customHeight="1" x14ac:dyDescent="0.2">
      <c r="B164" s="1589"/>
      <c r="C164" s="1480"/>
      <c r="D164" s="1437"/>
      <c r="E164" s="1443"/>
      <c r="F164" s="1443"/>
      <c r="G164" s="322" t="str">
        <f>+'Plan de Accion Misional'!K18</f>
        <v>Ordenes de Giros tramitadas</v>
      </c>
      <c r="H164" s="215" t="str">
        <f>+'Plan de Accion Misional'!X18</f>
        <v># Ordenes Giradas / # Ordenes solicitadas</v>
      </c>
      <c r="J164" s="214">
        <f>+'Plan de Accion Misional'!AG18</f>
        <v>0.25</v>
      </c>
      <c r="K164" s="476">
        <f>+'Plan de Accion Misional'!BR18</f>
        <v>1</v>
      </c>
      <c r="L164" s="476">
        <f>IF(K164&gt;100%,100%,K164)</f>
        <v>1</v>
      </c>
      <c r="M164" s="476">
        <f>+'Plan de Accion Misional'!AK18</f>
        <v>0.25</v>
      </c>
      <c r="N164" s="476">
        <f>IF(M164&gt;100%,100%,M164)</f>
        <v>0.25</v>
      </c>
      <c r="O164" s="478">
        <f>+N164</f>
        <v>0.25</v>
      </c>
      <c r="P164" s="213"/>
      <c r="Q164" s="214">
        <f>+'Plan de Accion Misional'!AQ18</f>
        <v>0.25</v>
      </c>
      <c r="R164" s="248">
        <f>+'Plan de Accion Misional'!BT18</f>
        <v>1</v>
      </c>
      <c r="S164" s="212">
        <f>IF(R164&gt;100%,100%,R164)</f>
        <v>1</v>
      </c>
      <c r="T164" s="325">
        <f>+'Plan de Accion Misional'!AU18</f>
        <v>0.5</v>
      </c>
      <c r="U164" s="325">
        <f>IF(T164&gt;100%,100%,T164)</f>
        <v>0.5</v>
      </c>
      <c r="V164" s="211">
        <f>+U164</f>
        <v>0.5</v>
      </c>
      <c r="W164" s="213"/>
      <c r="X164" s="214">
        <f>+'Plan de Accion Misional'!BA18</f>
        <v>0.25</v>
      </c>
      <c r="Y164" s="248">
        <f>+'Plan de Accion Misional'!BV18</f>
        <v>1</v>
      </c>
      <c r="Z164" s="212">
        <f>IF(Y164&gt;100%,100%,Y164)</f>
        <v>1</v>
      </c>
      <c r="AA164" s="217">
        <f>+'Plan de Accion Misional'!BE18</f>
        <v>0.75</v>
      </c>
      <c r="AB164" s="217">
        <f>IF(AA164&gt;100%,100%,AA164)</f>
        <v>0.75</v>
      </c>
      <c r="AC164" s="216">
        <f>+AB164</f>
        <v>0.75</v>
      </c>
      <c r="AD164" s="213"/>
      <c r="AE164" s="214">
        <f>+'Plan de Accion Misional'!BK18</f>
        <v>0.25</v>
      </c>
      <c r="AF164" s="248">
        <f>+'Plan de Accion Misional'!BX18</f>
        <v>1</v>
      </c>
      <c r="AG164" s="212">
        <f t="shared" si="131"/>
        <v>1</v>
      </c>
      <c r="AH164" s="248">
        <f>+'Plan de Accion Misional'!BO18</f>
        <v>1</v>
      </c>
      <c r="AI164" s="211">
        <f>IF(AH164&gt;100%,100%,AH164)</f>
        <v>1</v>
      </c>
      <c r="AJ164" s="1482"/>
      <c r="AK164" s="1167"/>
      <c r="AL164" s="1511"/>
      <c r="AM164" s="1488"/>
      <c r="AN164" s="204"/>
      <c r="AO164" s="1511"/>
      <c r="AP164" s="1488"/>
      <c r="AQ164" s="204"/>
      <c r="AR164" s="1511"/>
      <c r="AS164" s="1488"/>
      <c r="AT164" s="204"/>
      <c r="AU164" s="1511"/>
      <c r="AV164" s="1488"/>
      <c r="AW164" s="202"/>
      <c r="AX164" s="1507"/>
      <c r="AY164" s="235"/>
      <c r="AZ164" s="1511"/>
      <c r="BA164" s="1488"/>
      <c r="BB164" s="204"/>
      <c r="BC164" s="1511"/>
      <c r="BD164" s="1488"/>
      <c r="BE164" s="204"/>
      <c r="BF164" s="1511"/>
      <c r="BG164" s="1488"/>
      <c r="BH164" s="204"/>
      <c r="BI164" s="1511"/>
      <c r="BJ164" s="1488"/>
      <c r="BK164" s="202"/>
      <c r="BL164" s="1507"/>
      <c r="BN164" s="1511"/>
      <c r="BO164" s="1488"/>
      <c r="BP164" s="204"/>
      <c r="BQ164" s="1511"/>
      <c r="BR164" s="1488"/>
      <c r="BS164" s="204"/>
      <c r="BT164" s="1511"/>
      <c r="BU164" s="1488"/>
      <c r="BV164" s="204"/>
      <c r="BW164" s="1511"/>
      <c r="BX164" s="1488"/>
      <c r="BY164" s="202"/>
      <c r="BZ164" s="1507"/>
      <c r="CB164" s="1511"/>
      <c r="CC164" s="1488"/>
      <c r="CD164" s="204"/>
      <c r="CE164" s="1511"/>
      <c r="CF164" s="1488"/>
      <c r="CG164" s="204"/>
      <c r="CH164" s="1511"/>
      <c r="CI164" s="1488"/>
      <c r="CJ164" s="204"/>
      <c r="CK164" s="1511"/>
      <c r="CL164" s="1488"/>
      <c r="CM164" s="202"/>
      <c r="CN164" s="1507"/>
    </row>
    <row r="165" spans="2:92" ht="75" customHeight="1" x14ac:dyDescent="0.2">
      <c r="B165" s="1589"/>
      <c r="C165" s="1481"/>
      <c r="D165" s="1438"/>
      <c r="E165" s="1444"/>
      <c r="F165" s="1444"/>
      <c r="G165" s="322" t="str">
        <f>+'Plan de Accion Misional'!K20</f>
        <v>Estados Financieros</v>
      </c>
      <c r="H165" s="215" t="str">
        <f>+'Plan de Accion Misional'!X20</f>
        <v># Estados Financieros reportados a entes de control  / # Estados Financieros solicitados por entes de control</v>
      </c>
      <c r="J165" s="214">
        <f>+'Plan de Accion Misional'!AG20</f>
        <v>1</v>
      </c>
      <c r="K165" s="476">
        <f>+'Plan de Accion Misional'!BR20</f>
        <v>1</v>
      </c>
      <c r="L165" s="476">
        <f>IF(K165&gt;100%,100%,K165)</f>
        <v>1</v>
      </c>
      <c r="M165" s="476">
        <f>+'Plan de Accion Misional'!AK20</f>
        <v>0.25</v>
      </c>
      <c r="N165" s="476">
        <f>IF(M165&gt;100%,100%,M165)</f>
        <v>0.25</v>
      </c>
      <c r="O165" s="478">
        <f>+N165</f>
        <v>0.25</v>
      </c>
      <c r="P165" s="213"/>
      <c r="Q165" s="214">
        <f>+'Plan de Accion Misional'!AQ20</f>
        <v>1</v>
      </c>
      <c r="R165" s="248">
        <f>+'Plan de Accion Misional'!BT20</f>
        <v>1</v>
      </c>
      <c r="S165" s="212">
        <f>IF(R165&gt;100%,100%,R165)</f>
        <v>1</v>
      </c>
      <c r="T165" s="325">
        <f>+'Plan de Accion Misional'!AU20</f>
        <v>0.5</v>
      </c>
      <c r="U165" s="325">
        <f>IF(T165&gt;100%,100%,T165)</f>
        <v>0.5</v>
      </c>
      <c r="V165" s="211">
        <f>+U165</f>
        <v>0.5</v>
      </c>
      <c r="W165" s="213"/>
      <c r="X165" s="214">
        <f>+'Plan de Accion Misional'!BA20</f>
        <v>1</v>
      </c>
      <c r="Y165" s="248">
        <f>+'Plan de Accion Misional'!BV20</f>
        <v>1</v>
      </c>
      <c r="Z165" s="212">
        <f>IF(Y165&gt;100%,100%,Y165)</f>
        <v>1</v>
      </c>
      <c r="AA165" s="217">
        <f>+'Plan de Accion Misional'!BE20</f>
        <v>0.75</v>
      </c>
      <c r="AB165" s="217">
        <f>IF(AA165&gt;100%,100%,AA165)</f>
        <v>0.75</v>
      </c>
      <c r="AC165" s="216">
        <f>+AB165</f>
        <v>0.75</v>
      </c>
      <c r="AD165" s="213"/>
      <c r="AE165" s="214">
        <f>+'Plan de Accion Misional'!BK20</f>
        <v>1</v>
      </c>
      <c r="AF165" s="248">
        <f>+'Plan de Accion Misional'!BX20</f>
        <v>1</v>
      </c>
      <c r="AG165" s="212">
        <f t="shared" si="131"/>
        <v>1</v>
      </c>
      <c r="AH165" s="248">
        <f>+'Plan de Accion Misional'!BO20</f>
        <v>1</v>
      </c>
      <c r="AI165" s="211">
        <f>IF(AH165&gt;100%,100%,AH165)</f>
        <v>1</v>
      </c>
      <c r="AJ165" s="1482"/>
      <c r="AK165" s="1167"/>
      <c r="AL165" s="1511"/>
      <c r="AM165" s="1488"/>
      <c r="AN165" s="204"/>
      <c r="AO165" s="1511"/>
      <c r="AP165" s="1488"/>
      <c r="AQ165" s="204"/>
      <c r="AR165" s="1511"/>
      <c r="AS165" s="1488"/>
      <c r="AT165" s="204"/>
      <c r="AU165" s="1511"/>
      <c r="AV165" s="1488"/>
      <c r="AW165" s="202"/>
      <c r="AX165" s="1507"/>
      <c r="AY165" s="235"/>
      <c r="AZ165" s="1511"/>
      <c r="BA165" s="1488"/>
      <c r="BB165" s="204"/>
      <c r="BC165" s="1511"/>
      <c r="BD165" s="1488"/>
      <c r="BE165" s="204"/>
      <c r="BF165" s="1511"/>
      <c r="BG165" s="1488"/>
      <c r="BH165" s="204"/>
      <c r="BI165" s="1511"/>
      <c r="BJ165" s="1488"/>
      <c r="BK165" s="202"/>
      <c r="BL165" s="1507"/>
      <c r="BN165" s="1511"/>
      <c r="BO165" s="1488"/>
      <c r="BP165" s="204"/>
      <c r="BQ165" s="1511"/>
      <c r="BR165" s="1488"/>
      <c r="BS165" s="204"/>
      <c r="BT165" s="1511"/>
      <c r="BU165" s="1488"/>
      <c r="BV165" s="204"/>
      <c r="BW165" s="1511"/>
      <c r="BX165" s="1488"/>
      <c r="BY165" s="202"/>
      <c r="BZ165" s="1507"/>
      <c r="CB165" s="1511"/>
      <c r="CC165" s="1488"/>
      <c r="CD165" s="204"/>
      <c r="CE165" s="1511"/>
      <c r="CF165" s="1488"/>
      <c r="CG165" s="204"/>
      <c r="CH165" s="1511"/>
      <c r="CI165" s="1488"/>
      <c r="CJ165" s="204"/>
      <c r="CK165" s="1511"/>
      <c r="CL165" s="1488"/>
      <c r="CM165" s="202"/>
      <c r="CN165" s="1507"/>
    </row>
    <row r="166" spans="2:92" ht="105" customHeight="1" x14ac:dyDescent="0.2">
      <c r="B166" s="1589"/>
      <c r="C166" s="1479" t="s">
        <v>60</v>
      </c>
      <c r="D166" s="1436" t="s">
        <v>204</v>
      </c>
      <c r="E166" s="1442" t="s">
        <v>125</v>
      </c>
      <c r="F166" s="1442" t="s">
        <v>330</v>
      </c>
      <c r="G166" s="315" t="str">
        <f>+'Plan de Accion apoyo transversa'!X26</f>
        <v>Revisión, análisis y liquidación de sentencias condenatorias</v>
      </c>
      <c r="H166" s="215"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66" s="214">
        <f>+'Plan de Accion apoyo transversa'!AT26</f>
        <v>0</v>
      </c>
      <c r="K166" s="476" t="str">
        <f>+'Plan de Accion apoyo transversa'!CE26</f>
        <v>No Prog ni Ejec</v>
      </c>
      <c r="L166" s="476" t="s">
        <v>204</v>
      </c>
      <c r="M166" s="476">
        <f>+'Plan de Accion apoyo transversa'!AX26</f>
        <v>0</v>
      </c>
      <c r="N166" s="476">
        <f t="shared" si="117"/>
        <v>0</v>
      </c>
      <c r="O166" s="478" t="s">
        <v>204</v>
      </c>
      <c r="P166" s="213"/>
      <c r="Q166" s="214">
        <f>+'Plan de Accion apoyo transversa'!BD26</f>
        <v>0.5</v>
      </c>
      <c r="R166" s="248">
        <f>+'Plan de Accion apoyo transversa'!CG26</f>
        <v>1</v>
      </c>
      <c r="S166" s="212">
        <f t="shared" ref="S166:S171" si="133">IF(R166&gt;100%,100%,R166)</f>
        <v>1</v>
      </c>
      <c r="T166" s="304">
        <f>+'Plan de Accion apoyo transversa'!BH26</f>
        <v>0.5</v>
      </c>
      <c r="U166" s="304">
        <f t="shared" si="129"/>
        <v>0.5</v>
      </c>
      <c r="V166" s="211">
        <f t="shared" ref="V166:V171" si="134">+U166</f>
        <v>0.5</v>
      </c>
      <c r="W166" s="213"/>
      <c r="X166" s="214">
        <f>+'Plan de Accion apoyo transversa'!BN26</f>
        <v>0.25</v>
      </c>
      <c r="Y166" s="248">
        <f>+'Plan de Accion apoyo transversa'!CI26</f>
        <v>1</v>
      </c>
      <c r="Z166" s="212">
        <f>+Y166</f>
        <v>1</v>
      </c>
      <c r="AA166" s="217">
        <f>+'Plan de Accion apoyo transversa'!BR26</f>
        <v>0.75</v>
      </c>
      <c r="AB166" s="217">
        <f t="shared" si="130"/>
        <v>0.75</v>
      </c>
      <c r="AC166" s="216">
        <f t="shared" ref="AC166:AC171" si="135">+AB166</f>
        <v>0.75</v>
      </c>
      <c r="AD166" s="213"/>
      <c r="AE166" s="214">
        <f>+'Plan de Accion apoyo transversa'!BX26</f>
        <v>0.25</v>
      </c>
      <c r="AF166" s="248">
        <f>+'Plan de Accion apoyo transversa'!CK26</f>
        <v>1</v>
      </c>
      <c r="AG166" s="212">
        <f t="shared" ref="AG166:AG171" si="136">IF(AF166&gt;100%,100%,AF166)</f>
        <v>1</v>
      </c>
      <c r="AH166" s="248">
        <f>+'Plan de Accion apoyo transversa'!CB26</f>
        <v>1</v>
      </c>
      <c r="AI166" s="211">
        <f t="shared" si="132"/>
        <v>1</v>
      </c>
      <c r="AJ166" s="1482"/>
      <c r="AK166" s="1167"/>
      <c r="AL166" s="1511"/>
      <c r="AM166" s="1488"/>
      <c r="AN166" s="204"/>
      <c r="AO166" s="1511"/>
      <c r="AP166" s="1488"/>
      <c r="AQ166" s="204"/>
      <c r="AR166" s="1511"/>
      <c r="AS166" s="1488"/>
      <c r="AT166" s="204"/>
      <c r="AU166" s="1511"/>
      <c r="AV166" s="1488"/>
      <c r="AW166" s="202"/>
      <c r="AX166" s="1507"/>
      <c r="AY166" s="235"/>
      <c r="AZ166" s="1511"/>
      <c r="BA166" s="1488"/>
      <c r="BB166" s="204"/>
      <c r="BC166" s="1511"/>
      <c r="BD166" s="1488"/>
      <c r="BE166" s="204"/>
      <c r="BF166" s="1511"/>
      <c r="BG166" s="1488"/>
      <c r="BH166" s="204"/>
      <c r="BI166" s="1511"/>
      <c r="BJ166" s="1488"/>
      <c r="BK166" s="202"/>
      <c r="BL166" s="1507"/>
      <c r="BN166" s="1511"/>
      <c r="BO166" s="1488"/>
      <c r="BP166" s="204"/>
      <c r="BQ166" s="1511"/>
      <c r="BR166" s="1488"/>
      <c r="BS166" s="204"/>
      <c r="BT166" s="1511"/>
      <c r="BU166" s="1488"/>
      <c r="BV166" s="204"/>
      <c r="BW166" s="1511"/>
      <c r="BX166" s="1488"/>
      <c r="BY166" s="202"/>
      <c r="BZ166" s="1507"/>
      <c r="CB166" s="1511"/>
      <c r="CC166" s="1488"/>
      <c r="CD166" s="204"/>
      <c r="CE166" s="1511"/>
      <c r="CF166" s="1488"/>
      <c r="CG166" s="204"/>
      <c r="CH166" s="1511"/>
      <c r="CI166" s="1488"/>
      <c r="CJ166" s="204"/>
      <c r="CK166" s="1511"/>
      <c r="CL166" s="1488"/>
      <c r="CM166" s="202"/>
      <c r="CN166" s="1507"/>
    </row>
    <row r="167" spans="2:92" ht="105" customHeight="1" x14ac:dyDescent="0.2">
      <c r="B167" s="1589"/>
      <c r="C167" s="1480"/>
      <c r="D167" s="1437"/>
      <c r="E167" s="1443"/>
      <c r="F167" s="1443"/>
      <c r="G167" s="315" t="str">
        <f>+'Plan de Accion apoyo transversa'!X31</f>
        <v>Demandas Contestadas Oportunamente</v>
      </c>
      <c r="H167" s="215" t="str">
        <f>+'Plan de Accion apoyo transversa'!AK31</f>
        <v># Demandas Contestadas Oportunamente / # Demandas en término de contestación en el trimestre</v>
      </c>
      <c r="J167" s="214">
        <f>+'Plan de Accion apoyo transversa'!AT31</f>
        <v>0.25</v>
      </c>
      <c r="K167" s="476">
        <f>+'Plan de Accion apoyo transversa'!CE31</f>
        <v>1</v>
      </c>
      <c r="L167" s="476">
        <f>IF(K167&gt;100%,100%,K167)</f>
        <v>1</v>
      </c>
      <c r="M167" s="476">
        <f>+'Plan de Accion apoyo transversa'!AX31</f>
        <v>0.25</v>
      </c>
      <c r="N167" s="476">
        <f t="shared" si="117"/>
        <v>0.25</v>
      </c>
      <c r="O167" s="478">
        <f>+N167</f>
        <v>0.25</v>
      </c>
      <c r="P167" s="213"/>
      <c r="Q167" s="214">
        <f>+'Plan de Accion apoyo transversa'!BD31</f>
        <v>0.2251655629139073</v>
      </c>
      <c r="R167" s="248">
        <f>+'Plan de Accion apoyo transversa'!CG31</f>
        <v>0.90066225165562919</v>
      </c>
      <c r="S167" s="212">
        <f t="shared" si="133"/>
        <v>0.90066225165562919</v>
      </c>
      <c r="T167" s="304">
        <f>+'Plan de Accion apoyo transversa'!BH31</f>
        <v>0.47516556291390732</v>
      </c>
      <c r="U167" s="304">
        <f t="shared" si="129"/>
        <v>0.47516556291390732</v>
      </c>
      <c r="V167" s="211">
        <f t="shared" si="134"/>
        <v>0.47516556291390732</v>
      </c>
      <c r="W167" s="213"/>
      <c r="X167" s="214">
        <f>+'Plan de Accion apoyo transversa'!BN31</f>
        <v>0.25</v>
      </c>
      <c r="Y167" s="248">
        <f>+'Plan de Accion apoyo transversa'!CI31</f>
        <v>1</v>
      </c>
      <c r="Z167" s="212">
        <f>IF(Y167&gt;100%,100%,Y167)</f>
        <v>1</v>
      </c>
      <c r="AA167" s="217">
        <f>+'Plan de Accion apoyo transversa'!BR31</f>
        <v>0.72516556291390732</v>
      </c>
      <c r="AB167" s="217">
        <f t="shared" si="130"/>
        <v>0.72516556291390732</v>
      </c>
      <c r="AC167" s="216">
        <f t="shared" si="135"/>
        <v>0.72516556291390732</v>
      </c>
      <c r="AD167" s="213"/>
      <c r="AE167" s="214">
        <f>+'Plan de Accion apoyo transversa'!BX31</f>
        <v>0.25</v>
      </c>
      <c r="AF167" s="248">
        <f>+'Plan de Accion apoyo transversa'!CK31</f>
        <v>1</v>
      </c>
      <c r="AG167" s="212">
        <f t="shared" si="136"/>
        <v>1</v>
      </c>
      <c r="AH167" s="248">
        <f>+'Plan de Accion apoyo transversa'!CB31</f>
        <v>0.97516556291390732</v>
      </c>
      <c r="AI167" s="211">
        <f t="shared" si="132"/>
        <v>0.97516556291390732</v>
      </c>
      <c r="AJ167" s="1482"/>
      <c r="AK167" s="1167"/>
      <c r="AL167" s="1511"/>
      <c r="AM167" s="1488"/>
      <c r="AN167" s="204"/>
      <c r="AO167" s="1511"/>
      <c r="AP167" s="1488"/>
      <c r="AQ167" s="204"/>
      <c r="AR167" s="1511"/>
      <c r="AS167" s="1488"/>
      <c r="AT167" s="204"/>
      <c r="AU167" s="1511"/>
      <c r="AV167" s="1488"/>
      <c r="AW167" s="202"/>
      <c r="AX167" s="1507"/>
      <c r="AY167" s="235"/>
      <c r="AZ167" s="1511"/>
      <c r="BA167" s="1488"/>
      <c r="BB167" s="204"/>
      <c r="BC167" s="1511"/>
      <c r="BD167" s="1488"/>
      <c r="BE167" s="204"/>
      <c r="BF167" s="1511"/>
      <c r="BG167" s="1488"/>
      <c r="BH167" s="204"/>
      <c r="BI167" s="1511"/>
      <c r="BJ167" s="1488"/>
      <c r="BK167" s="202"/>
      <c r="BL167" s="1507"/>
      <c r="BN167" s="1511"/>
      <c r="BO167" s="1488"/>
      <c r="BP167" s="204"/>
      <c r="BQ167" s="1511"/>
      <c r="BR167" s="1488"/>
      <c r="BS167" s="204"/>
      <c r="BT167" s="1511"/>
      <c r="BU167" s="1488"/>
      <c r="BV167" s="204"/>
      <c r="BW167" s="1511"/>
      <c r="BX167" s="1488"/>
      <c r="BY167" s="202"/>
      <c r="BZ167" s="1507"/>
      <c r="CB167" s="1511"/>
      <c r="CC167" s="1488"/>
      <c r="CD167" s="204"/>
      <c r="CE167" s="1511"/>
      <c r="CF167" s="1488"/>
      <c r="CG167" s="204"/>
      <c r="CH167" s="1511"/>
      <c r="CI167" s="1488"/>
      <c r="CJ167" s="204"/>
      <c r="CK167" s="1511"/>
      <c r="CL167" s="1488"/>
      <c r="CM167" s="202"/>
      <c r="CN167" s="1507"/>
    </row>
    <row r="168" spans="2:92" ht="105" customHeight="1" x14ac:dyDescent="0.2">
      <c r="B168" s="1589"/>
      <c r="C168" s="1480"/>
      <c r="D168" s="1437"/>
      <c r="E168" s="1443"/>
      <c r="F168" s="1443"/>
      <c r="G168" s="315" t="str">
        <f>+'Plan de Accion apoyo transversa'!X32</f>
        <v>Respuestas a solicitudes de pruebas</v>
      </c>
      <c r="H168" s="215" t="str">
        <f>+'Plan de Accion apoyo transversa'!AK32</f>
        <v># Respuestas a solicitudes de pruebas en términos / # peticiones realizadas en término de contestación en el trimestre</v>
      </c>
      <c r="J168" s="214">
        <f>+'Plan de Accion apoyo transversa'!AT32</f>
        <v>0.25</v>
      </c>
      <c r="K168" s="476">
        <f>+'Plan de Accion apoyo transversa'!CE32</f>
        <v>1</v>
      </c>
      <c r="L168" s="476">
        <f>IF(K168&gt;100%,100%,K168)</f>
        <v>1</v>
      </c>
      <c r="M168" s="476">
        <f>+'Plan de Accion apoyo transversa'!AX32</f>
        <v>0.25</v>
      </c>
      <c r="N168" s="476">
        <f t="shared" si="117"/>
        <v>0.25</v>
      </c>
      <c r="O168" s="478">
        <f>+N168</f>
        <v>0.25</v>
      </c>
      <c r="P168" s="213"/>
      <c r="Q168" s="214">
        <f>+'Plan de Accion apoyo transversa'!BD32</f>
        <v>0.22222222222222221</v>
      </c>
      <c r="R168" s="248">
        <f>+'Plan de Accion apoyo transversa'!CG32</f>
        <v>0.88888888888888884</v>
      </c>
      <c r="S168" s="212">
        <f t="shared" si="133"/>
        <v>0.88888888888888884</v>
      </c>
      <c r="T168" s="304">
        <f>+'Plan de Accion apoyo transversa'!BH32</f>
        <v>0.47222222222222221</v>
      </c>
      <c r="U168" s="304">
        <f t="shared" si="129"/>
        <v>0.47222222222222221</v>
      </c>
      <c r="V168" s="211">
        <f t="shared" si="134"/>
        <v>0.47222222222222221</v>
      </c>
      <c r="W168" s="213"/>
      <c r="X168" s="214">
        <f>+'Plan de Accion apoyo transversa'!BN32</f>
        <v>0.24295774647887325</v>
      </c>
      <c r="Y168" s="248">
        <f>+'Plan de Accion apoyo transversa'!CI32</f>
        <v>0.971830985915493</v>
      </c>
      <c r="Z168" s="212">
        <f>IF(Y168&gt;100%,100%,Y168)</f>
        <v>0.971830985915493</v>
      </c>
      <c r="AA168" s="217">
        <f>+'Plan de Accion apoyo transversa'!BR32</f>
        <v>0.71517996870109546</v>
      </c>
      <c r="AB168" s="217">
        <f t="shared" si="130"/>
        <v>0.71517996870109546</v>
      </c>
      <c r="AC168" s="216">
        <f t="shared" si="135"/>
        <v>0.71517996870109546</v>
      </c>
      <c r="AD168" s="213"/>
      <c r="AE168" s="214">
        <f>+'Plan de Accion apoyo transversa'!BX32</f>
        <v>0.25</v>
      </c>
      <c r="AF168" s="248">
        <f>+'Plan de Accion apoyo transversa'!CK32</f>
        <v>1</v>
      </c>
      <c r="AG168" s="212">
        <f t="shared" si="136"/>
        <v>1</v>
      </c>
      <c r="AH168" s="248">
        <f>+'Plan de Accion apoyo transversa'!CB32</f>
        <v>0.96517996870109546</v>
      </c>
      <c r="AI168" s="211">
        <f t="shared" si="132"/>
        <v>0.96517996870109546</v>
      </c>
      <c r="AJ168" s="1482"/>
      <c r="AK168" s="1167"/>
      <c r="AL168" s="1511"/>
      <c r="AM168" s="1488"/>
      <c r="AN168" s="204"/>
      <c r="AO168" s="1511"/>
      <c r="AP168" s="1488"/>
      <c r="AQ168" s="204"/>
      <c r="AR168" s="1511"/>
      <c r="AS168" s="1488"/>
      <c r="AT168" s="204"/>
      <c r="AU168" s="1511"/>
      <c r="AV168" s="1488"/>
      <c r="AW168" s="202"/>
      <c r="AX168" s="1507"/>
      <c r="AY168" s="235"/>
      <c r="AZ168" s="1511"/>
      <c r="BA168" s="1488"/>
      <c r="BB168" s="204"/>
      <c r="BC168" s="1511"/>
      <c r="BD168" s="1488"/>
      <c r="BE168" s="204"/>
      <c r="BF168" s="1511"/>
      <c r="BG168" s="1488"/>
      <c r="BH168" s="204"/>
      <c r="BI168" s="1511"/>
      <c r="BJ168" s="1488"/>
      <c r="BK168" s="202"/>
      <c r="BL168" s="1507"/>
      <c r="BN168" s="1511"/>
      <c r="BO168" s="1488"/>
      <c r="BP168" s="204"/>
      <c r="BQ168" s="1511"/>
      <c r="BR168" s="1488"/>
      <c r="BS168" s="204"/>
      <c r="BT168" s="1511"/>
      <c r="BU168" s="1488"/>
      <c r="BV168" s="204"/>
      <c r="BW168" s="1511"/>
      <c r="BX168" s="1488"/>
      <c r="BY168" s="202"/>
      <c r="BZ168" s="1507"/>
      <c r="CB168" s="1511"/>
      <c r="CC168" s="1488"/>
      <c r="CD168" s="204"/>
      <c r="CE168" s="1511"/>
      <c r="CF168" s="1488"/>
      <c r="CG168" s="204"/>
      <c r="CH168" s="1511"/>
      <c r="CI168" s="1488"/>
      <c r="CJ168" s="204"/>
      <c r="CK168" s="1511"/>
      <c r="CL168" s="1488"/>
      <c r="CM168" s="202"/>
      <c r="CN168" s="1507"/>
    </row>
    <row r="169" spans="2:92" ht="105" customHeight="1" x14ac:dyDescent="0.2">
      <c r="B169" s="1589"/>
      <c r="C169" s="1480"/>
      <c r="D169" s="1437"/>
      <c r="E169" s="1443"/>
      <c r="F169" s="1443"/>
      <c r="G169" s="315" t="str">
        <f>+'Plan de Accion apoyo transversa'!X35</f>
        <v>Recurrir los Actos Administrativos interpuestos por COLPENSIONES</v>
      </c>
      <c r="H169" s="215" t="str">
        <f>+'Plan de Accion apoyo transversa'!AK35</f>
        <v># Recursos interpuestos oportunamente contra actos administrativos expedidos por Colpensiones / # Actos administrativos expedidos por Colpensiones notificados por aviso a la Entidad</v>
      </c>
      <c r="J169" s="214">
        <f>+'Plan de Accion apoyo transversa'!AT35</f>
        <v>0.25</v>
      </c>
      <c r="K169" s="476">
        <f>+'Plan de Accion apoyo transversa'!CE35</f>
        <v>1</v>
      </c>
      <c r="L169" s="476">
        <f>IF(K169&gt;100%,100%,K169)</f>
        <v>1</v>
      </c>
      <c r="M169" s="476">
        <f>+'Plan de Accion apoyo transversa'!AX35</f>
        <v>0.25</v>
      </c>
      <c r="N169" s="476">
        <f t="shared" si="117"/>
        <v>0.25</v>
      </c>
      <c r="O169" s="478">
        <f>+N169</f>
        <v>0.25</v>
      </c>
      <c r="P169" s="213"/>
      <c r="Q169" s="214" t="s">
        <v>204</v>
      </c>
      <c r="R169" s="248" t="s">
        <v>180</v>
      </c>
      <c r="S169" s="212" t="s">
        <v>204</v>
      </c>
      <c r="T169" s="673">
        <f>+'Plan de Accion apoyo transversa'!BH35</f>
        <v>0.25</v>
      </c>
      <c r="U169" s="673">
        <f t="shared" ref="U169" si="137">IF(T169&gt;100%,100%,T169)</f>
        <v>0.25</v>
      </c>
      <c r="V169" s="211">
        <f t="shared" ref="V169" si="138">+U169</f>
        <v>0.25</v>
      </c>
      <c r="W169" s="213"/>
      <c r="X169" s="214" t="s">
        <v>204</v>
      </c>
      <c r="Y169" s="248" t="s">
        <v>180</v>
      </c>
      <c r="Z169" s="212" t="s">
        <v>204</v>
      </c>
      <c r="AA169" s="217">
        <f>+'Plan de Accion apoyo transversa'!BR35</f>
        <v>0.25</v>
      </c>
      <c r="AB169" s="217">
        <f t="shared" ref="AB169" si="139">IF(AA169&gt;100%,100%,AA169)</f>
        <v>0.25</v>
      </c>
      <c r="AC169" s="216">
        <f t="shared" ref="AC169" si="140">+AB169</f>
        <v>0.25</v>
      </c>
      <c r="AD169" s="213"/>
      <c r="AE169" s="214" t="s">
        <v>204</v>
      </c>
      <c r="AF169" s="248" t="s">
        <v>180</v>
      </c>
      <c r="AG169" s="212" t="s">
        <v>204</v>
      </c>
      <c r="AH169" s="248">
        <f>+'Plan de Accion apoyo transversa'!CB35</f>
        <v>0.25</v>
      </c>
      <c r="AI169" s="211">
        <f t="shared" ref="AI169" si="141">IF(AH169&gt;100%,100%,AH169)</f>
        <v>0.25</v>
      </c>
      <c r="AJ169" s="1482"/>
      <c r="AK169" s="1167"/>
      <c r="AL169" s="1511"/>
      <c r="AM169" s="1488"/>
      <c r="AN169" s="204"/>
      <c r="AO169" s="1511"/>
      <c r="AP169" s="1488"/>
      <c r="AQ169" s="204"/>
      <c r="AR169" s="1511"/>
      <c r="AS169" s="1488"/>
      <c r="AT169" s="204"/>
      <c r="AU169" s="1511"/>
      <c r="AV169" s="1488"/>
      <c r="AW169" s="202"/>
      <c r="AX169" s="1507"/>
      <c r="AY169" s="235"/>
      <c r="AZ169" s="1511"/>
      <c r="BA169" s="1488"/>
      <c r="BB169" s="204"/>
      <c r="BC169" s="1511"/>
      <c r="BD169" s="1488"/>
      <c r="BE169" s="204"/>
      <c r="BF169" s="1511"/>
      <c r="BG169" s="1488"/>
      <c r="BH169" s="204"/>
      <c r="BI169" s="1511"/>
      <c r="BJ169" s="1488"/>
      <c r="BK169" s="202"/>
      <c r="BL169" s="1507"/>
      <c r="BN169" s="1511"/>
      <c r="BO169" s="1488"/>
      <c r="BP169" s="204"/>
      <c r="BQ169" s="1511"/>
      <c r="BR169" s="1488"/>
      <c r="BS169" s="204"/>
      <c r="BT169" s="1511"/>
      <c r="BU169" s="1488"/>
      <c r="BV169" s="204"/>
      <c r="BW169" s="1511"/>
      <c r="BX169" s="1488"/>
      <c r="BY169" s="202"/>
      <c r="BZ169" s="1507"/>
      <c r="CB169" s="1511"/>
      <c r="CC169" s="1488"/>
      <c r="CD169" s="204"/>
      <c r="CE169" s="1511"/>
      <c r="CF169" s="1488"/>
      <c r="CG169" s="204"/>
      <c r="CH169" s="1511"/>
      <c r="CI169" s="1488"/>
      <c r="CJ169" s="204"/>
      <c r="CK169" s="1511"/>
      <c r="CL169" s="1488"/>
      <c r="CM169" s="202"/>
      <c r="CN169" s="1507"/>
    </row>
    <row r="170" spans="2:92" ht="105" customHeight="1" x14ac:dyDescent="0.2">
      <c r="B170" s="1589"/>
      <c r="C170" s="1480"/>
      <c r="D170" s="1437"/>
      <c r="E170" s="1443"/>
      <c r="F170" s="1443"/>
      <c r="G170" s="315" t="str">
        <f>+'Plan de Accion apoyo transversa'!X36</f>
        <v>Respuestas a reclamaciones</v>
      </c>
      <c r="H170" s="215" t="str">
        <f>+'Plan de Accion apoyo transversa'!AK36</f>
        <v># Respuestas a reclamaciones / # solicitudes de reclamación radicadas por las EPS en el mes anterior</v>
      </c>
      <c r="J170" s="214">
        <f>+'Plan de Accion apoyo transversa'!AT36</f>
        <v>0</v>
      </c>
      <c r="K170" s="476">
        <f>+'Plan de Accion apoyo transversa'!CE36</f>
        <v>0</v>
      </c>
      <c r="L170" s="476">
        <f>IF(K170&gt;100%,100%,K170)</f>
        <v>0</v>
      </c>
      <c r="M170" s="476">
        <f>+'Plan de Accion apoyo transversa'!AX36</f>
        <v>0</v>
      </c>
      <c r="N170" s="476">
        <f t="shared" si="117"/>
        <v>0</v>
      </c>
      <c r="O170" s="478">
        <f>+N170</f>
        <v>0</v>
      </c>
      <c r="P170" s="213"/>
      <c r="Q170" s="214" t="s">
        <v>204</v>
      </c>
      <c r="R170" s="248" t="s">
        <v>180</v>
      </c>
      <c r="S170" s="212" t="s">
        <v>204</v>
      </c>
      <c r="T170" s="673">
        <f>+'Plan de Accion apoyo transversa'!BH36</f>
        <v>0</v>
      </c>
      <c r="U170" s="673">
        <f t="shared" ref="U170" si="142">IF(T170&gt;100%,100%,T170)</f>
        <v>0</v>
      </c>
      <c r="V170" s="211">
        <f t="shared" ref="V170" si="143">+U170</f>
        <v>0</v>
      </c>
      <c r="W170" s="213"/>
      <c r="X170" s="214" t="s">
        <v>204</v>
      </c>
      <c r="Y170" s="248" t="s">
        <v>180</v>
      </c>
      <c r="Z170" s="212" t="s">
        <v>204</v>
      </c>
      <c r="AA170" s="217">
        <f>+'Plan de Accion apoyo transversa'!BR36</f>
        <v>0</v>
      </c>
      <c r="AB170" s="217">
        <f t="shared" ref="AB170" si="144">IF(AA170&gt;100%,100%,AA170)</f>
        <v>0</v>
      </c>
      <c r="AC170" s="216">
        <f t="shared" ref="AC170" si="145">+AB170</f>
        <v>0</v>
      </c>
      <c r="AD170" s="213"/>
      <c r="AE170" s="214" t="s">
        <v>204</v>
      </c>
      <c r="AF170" s="248" t="s">
        <v>180</v>
      </c>
      <c r="AG170" s="212" t="s">
        <v>204</v>
      </c>
      <c r="AH170" s="248">
        <f>+'Plan de Accion apoyo transversa'!CB36</f>
        <v>0</v>
      </c>
      <c r="AI170" s="211">
        <f t="shared" ref="AI170" si="146">IF(AH170&gt;100%,100%,AH170)</f>
        <v>0</v>
      </c>
      <c r="AJ170" s="1482"/>
      <c r="AK170" s="1167"/>
      <c r="AL170" s="1511"/>
      <c r="AM170" s="1488"/>
      <c r="AN170" s="204"/>
      <c r="AO170" s="1511"/>
      <c r="AP170" s="1488"/>
      <c r="AQ170" s="204"/>
      <c r="AR170" s="1511"/>
      <c r="AS170" s="1488"/>
      <c r="AT170" s="204"/>
      <c r="AU170" s="1511"/>
      <c r="AV170" s="1488"/>
      <c r="AW170" s="202"/>
      <c r="AX170" s="1507"/>
      <c r="AY170" s="235"/>
      <c r="AZ170" s="1511"/>
      <c r="BA170" s="1488"/>
      <c r="BB170" s="204"/>
      <c r="BC170" s="1511"/>
      <c r="BD170" s="1488"/>
      <c r="BE170" s="204"/>
      <c r="BF170" s="1511"/>
      <c r="BG170" s="1488"/>
      <c r="BH170" s="204"/>
      <c r="BI170" s="1511"/>
      <c r="BJ170" s="1488"/>
      <c r="BK170" s="202"/>
      <c r="BL170" s="1507"/>
      <c r="BN170" s="1511"/>
      <c r="BO170" s="1488"/>
      <c r="BP170" s="204"/>
      <c r="BQ170" s="1511"/>
      <c r="BR170" s="1488"/>
      <c r="BS170" s="204"/>
      <c r="BT170" s="1511"/>
      <c r="BU170" s="1488"/>
      <c r="BV170" s="204"/>
      <c r="BW170" s="1511"/>
      <c r="BX170" s="1488"/>
      <c r="BY170" s="202"/>
      <c r="BZ170" s="1507"/>
      <c r="CB170" s="1511"/>
      <c r="CC170" s="1488"/>
      <c r="CD170" s="204"/>
      <c r="CE170" s="1511"/>
      <c r="CF170" s="1488"/>
      <c r="CG170" s="204"/>
      <c r="CH170" s="1511"/>
      <c r="CI170" s="1488"/>
      <c r="CJ170" s="204"/>
      <c r="CK170" s="1511"/>
      <c r="CL170" s="1488"/>
      <c r="CM170" s="202"/>
      <c r="CN170" s="1507"/>
    </row>
    <row r="171" spans="2:92" ht="105" customHeight="1" x14ac:dyDescent="0.2">
      <c r="B171" s="1589"/>
      <c r="C171" s="1481"/>
      <c r="D171" s="1438"/>
      <c r="E171" s="1444"/>
      <c r="F171" s="1444"/>
      <c r="G171" s="315" t="str">
        <f>+'Plan de Accion apoyo transversa'!X41</f>
        <v xml:space="preserve">Atender las solicitudes de informes derivadas de acciones constitucionales </v>
      </c>
      <c r="H171" s="215" t="str">
        <f>+'Plan de Accion apoyo transversa'!AK41</f>
        <v># Acciones constitucionales tramitadas Oportunamente / # Acciones constitucionales  radicadas que requieren Trámite</v>
      </c>
      <c r="J171" s="214">
        <f>+'Plan de Accion apoyo transversa'!AT41</f>
        <v>0.24055225317968984</v>
      </c>
      <c r="K171" s="476">
        <f>+'Plan de Accion apoyo transversa'!CE41</f>
        <v>0.96220901271875936</v>
      </c>
      <c r="L171" s="476">
        <f>IF(K171&gt;100%,100%,K171)</f>
        <v>0.96220901271875936</v>
      </c>
      <c r="M171" s="476">
        <f>+'Plan de Accion apoyo transversa'!AX41</f>
        <v>0.24055225317968984</v>
      </c>
      <c r="N171" s="476">
        <f t="shared" si="117"/>
        <v>0.24055225317968984</v>
      </c>
      <c r="O171" s="478">
        <f>+N171</f>
        <v>0.24055225317968984</v>
      </c>
      <c r="P171" s="213"/>
      <c r="Q171" s="214">
        <f>+'Plan de Accion apoyo transversa'!BD41</f>
        <v>0.24979947119812246</v>
      </c>
      <c r="R171" s="248">
        <f>+'Plan de Accion apoyo transversa'!CG41</f>
        <v>0.99919788479248983</v>
      </c>
      <c r="S171" s="212">
        <f t="shared" si="133"/>
        <v>0.99919788479248983</v>
      </c>
      <c r="T171" s="304">
        <f>+'Plan de Accion apoyo transversa'!BH41</f>
        <v>0.49035172437781227</v>
      </c>
      <c r="U171" s="304">
        <f t="shared" si="129"/>
        <v>0.49035172437781227</v>
      </c>
      <c r="V171" s="211">
        <f t="shared" si="134"/>
        <v>0.49035172437781227</v>
      </c>
      <c r="W171" s="213"/>
      <c r="X171" s="214">
        <f>+'Plan de Accion apoyo transversa'!BN41</f>
        <v>0.24979947119812246</v>
      </c>
      <c r="Y171" s="248">
        <f>+'Plan de Accion apoyo transversa'!CI41</f>
        <v>0.99919788479248983</v>
      </c>
      <c r="Z171" s="212">
        <f>IF(Y171&gt;100%,100%,Y171)</f>
        <v>0.99919788479248983</v>
      </c>
      <c r="AA171" s="217">
        <f>+'Plan de Accion apoyo transversa'!BR41</f>
        <v>0.74015119557593478</v>
      </c>
      <c r="AB171" s="217">
        <f t="shared" si="130"/>
        <v>0.74015119557593478</v>
      </c>
      <c r="AC171" s="216">
        <f t="shared" si="135"/>
        <v>0.74015119557593478</v>
      </c>
      <c r="AD171" s="213"/>
      <c r="AE171" s="214">
        <f>+'Plan de Accion apoyo transversa'!BX41</f>
        <v>0.24243716337522442</v>
      </c>
      <c r="AF171" s="248">
        <f>+'Plan de Accion apoyo transversa'!CK41</f>
        <v>0.96974865350089767</v>
      </c>
      <c r="AG171" s="212">
        <f t="shared" si="136"/>
        <v>0.96974865350089767</v>
      </c>
      <c r="AH171" s="248">
        <f>+'Plan de Accion apoyo transversa'!CB41</f>
        <v>0.98258835895115926</v>
      </c>
      <c r="AI171" s="211">
        <f t="shared" si="132"/>
        <v>0.98258835895115926</v>
      </c>
      <c r="AJ171" s="1482"/>
      <c r="AK171" s="1167"/>
      <c r="AL171" s="1511"/>
      <c r="AM171" s="1488"/>
      <c r="AN171" s="204"/>
      <c r="AO171" s="1511"/>
      <c r="AP171" s="1488"/>
      <c r="AQ171" s="204"/>
      <c r="AR171" s="1511"/>
      <c r="AS171" s="1488"/>
      <c r="AT171" s="204"/>
      <c r="AU171" s="1511"/>
      <c r="AV171" s="1488"/>
      <c r="AW171" s="202"/>
      <c r="AX171" s="1507"/>
      <c r="AY171" s="235"/>
      <c r="AZ171" s="1511"/>
      <c r="BA171" s="1488"/>
      <c r="BB171" s="204"/>
      <c r="BC171" s="1511"/>
      <c r="BD171" s="1488"/>
      <c r="BE171" s="204"/>
      <c r="BF171" s="1511"/>
      <c r="BG171" s="1488"/>
      <c r="BH171" s="204"/>
      <c r="BI171" s="1511"/>
      <c r="BJ171" s="1488"/>
      <c r="BK171" s="202"/>
      <c r="BL171" s="1507"/>
      <c r="BN171" s="1511"/>
      <c r="BO171" s="1488"/>
      <c r="BP171" s="204"/>
      <c r="BQ171" s="1511"/>
      <c r="BR171" s="1488"/>
      <c r="BS171" s="204"/>
      <c r="BT171" s="1511"/>
      <c r="BU171" s="1488"/>
      <c r="BV171" s="204"/>
      <c r="BW171" s="1511"/>
      <c r="BX171" s="1488"/>
      <c r="BY171" s="202"/>
      <c r="BZ171" s="1507"/>
      <c r="CB171" s="1511"/>
      <c r="CC171" s="1488"/>
      <c r="CD171" s="204"/>
      <c r="CE171" s="1511"/>
      <c r="CF171" s="1488"/>
      <c r="CG171" s="204"/>
      <c r="CH171" s="1511"/>
      <c r="CI171" s="1488"/>
      <c r="CJ171" s="204"/>
      <c r="CK171" s="1511"/>
      <c r="CL171" s="1488"/>
      <c r="CM171" s="202"/>
      <c r="CN171" s="1507"/>
    </row>
    <row r="172" spans="2:92" ht="100.5" customHeight="1" x14ac:dyDescent="0.2">
      <c r="B172" s="1589"/>
      <c r="C172" s="1471" t="s">
        <v>94</v>
      </c>
      <c r="D172" s="1497" t="s">
        <v>204</v>
      </c>
      <c r="E172" s="1440" t="s">
        <v>1</v>
      </c>
      <c r="F172" s="1443" t="s">
        <v>330</v>
      </c>
      <c r="G172" s="550" t="str">
        <f>+'Plan de Accion apoyo transversa'!X183</f>
        <v>Política de comunicaciones de la ADRES aprobada por el comité de Gestión y Desempeño.</v>
      </c>
      <c r="H172" s="215" t="str">
        <f>+'Plan de Accion apoyo transversa'!AK183</f>
        <v># Documentos de política de comunicaciones de la ADRES aprobados y socializados con los funcionarios de la entidad.</v>
      </c>
      <c r="J172" s="218">
        <f>+'Plan de Accion apoyo transversa'!AT183</f>
        <v>0</v>
      </c>
      <c r="K172" s="544" t="str">
        <f>+'Plan de Accion apoyo transversa'!CE183</f>
        <v>No Prog ni Ejec</v>
      </c>
      <c r="L172" s="544" t="s">
        <v>204</v>
      </c>
      <c r="M172" s="544">
        <f>+'Plan de Accion apoyo transversa'!AX183</f>
        <v>0</v>
      </c>
      <c r="N172" s="544">
        <f t="shared" ref="N172" si="147">IF(M172&gt;100%,100%,M172)</f>
        <v>0</v>
      </c>
      <c r="O172" s="546" t="s">
        <v>204</v>
      </c>
      <c r="P172" s="213"/>
      <c r="Q172" s="218">
        <f>+'Plan de Accion apoyo transversa'!BD183</f>
        <v>0</v>
      </c>
      <c r="R172" s="248" t="str">
        <f>+'Plan de Accion apoyo transversa'!CG183</f>
        <v>No Prog ni Ejec</v>
      </c>
      <c r="S172" s="212" t="s">
        <v>204</v>
      </c>
      <c r="T172" s="544">
        <f>+'Plan de Accion apoyo transversa'!BH183</f>
        <v>0</v>
      </c>
      <c r="U172" s="544">
        <f t="shared" ref="U172" si="148">IF(T172&gt;100%,100%,T172)</f>
        <v>0</v>
      </c>
      <c r="V172" s="211" t="s">
        <v>204</v>
      </c>
      <c r="W172" s="213"/>
      <c r="X172" s="218">
        <f>+'Plan de Accion apoyo transversa'!BN183</f>
        <v>0</v>
      </c>
      <c r="Y172" s="248" t="str">
        <f>+'Plan de Accion apoyo transversa'!CI183</f>
        <v>No Prog ni Ejec</v>
      </c>
      <c r="Z172" s="212" t="s">
        <v>204</v>
      </c>
      <c r="AA172" s="217">
        <f>+'Plan de Accion apoyo transversa'!BR183</f>
        <v>0</v>
      </c>
      <c r="AB172" s="217">
        <f t="shared" ref="AB172" si="149">IF(AA172&gt;100%,100%,AA172)</f>
        <v>0</v>
      </c>
      <c r="AC172" s="548" t="s">
        <v>204</v>
      </c>
      <c r="AD172" s="213"/>
      <c r="AE172" s="219">
        <f>+'Plan de Accion apoyo transversa'!BX183</f>
        <v>1</v>
      </c>
      <c r="AF172" s="248">
        <f>+'Plan de Accion apoyo transversa'!CK183</f>
        <v>1</v>
      </c>
      <c r="AG172" s="212">
        <f t="shared" ref="AG172" si="150">IF(AF172&gt;100%,100%,AF172)</f>
        <v>1</v>
      </c>
      <c r="AH172" s="248">
        <f>+'Plan de Accion apoyo transversa'!CB183</f>
        <v>1</v>
      </c>
      <c r="AI172" s="211">
        <f t="shared" ref="AI172" si="151">IF(AH172&gt;100%,100%,AH172)</f>
        <v>1</v>
      </c>
      <c r="AJ172" s="553"/>
      <c r="AK172" s="1167"/>
      <c r="AL172" s="555"/>
      <c r="AM172" s="551"/>
      <c r="AN172" s="204"/>
      <c r="AO172" s="238"/>
      <c r="AP172" s="551"/>
      <c r="AQ172" s="204"/>
      <c r="AR172" s="555"/>
      <c r="AS172" s="551"/>
      <c r="AT172" s="204"/>
      <c r="AU172" s="555"/>
      <c r="AV172" s="551"/>
      <c r="AW172" s="202"/>
      <c r="AX172" s="552"/>
      <c r="AY172" s="235"/>
      <c r="AZ172" s="555"/>
      <c r="BA172" s="551"/>
      <c r="BB172" s="204"/>
      <c r="BC172" s="238"/>
      <c r="BD172" s="551"/>
      <c r="BE172" s="204"/>
      <c r="BF172" s="555"/>
      <c r="BG172" s="551"/>
      <c r="BH172" s="204"/>
      <c r="BI172" s="555"/>
      <c r="BJ172" s="551"/>
      <c r="BK172" s="202"/>
      <c r="BL172" s="552"/>
      <c r="BN172" s="555"/>
      <c r="BO172" s="551"/>
      <c r="BP172" s="204"/>
      <c r="BQ172" s="238"/>
      <c r="BR172" s="551"/>
      <c r="BS172" s="204"/>
      <c r="BT172" s="555"/>
      <c r="BU172" s="551"/>
      <c r="BV172" s="204"/>
      <c r="BW172" s="555"/>
      <c r="BX172" s="551"/>
      <c r="BY172" s="202"/>
      <c r="BZ172" s="552"/>
      <c r="CB172" s="555"/>
      <c r="CC172" s="551"/>
      <c r="CD172" s="204"/>
      <c r="CE172" s="238"/>
      <c r="CF172" s="551"/>
      <c r="CG172" s="204"/>
      <c r="CH172" s="555"/>
      <c r="CI172" s="551"/>
      <c r="CJ172" s="204"/>
      <c r="CK172" s="555"/>
      <c r="CL172" s="551"/>
      <c r="CM172" s="202"/>
      <c r="CN172" s="552"/>
    </row>
    <row r="173" spans="2:92" ht="100.5" customHeight="1" x14ac:dyDescent="0.2">
      <c r="B173" s="1589"/>
      <c r="C173" s="1471"/>
      <c r="D173" s="1497"/>
      <c r="E173" s="1440"/>
      <c r="F173" s="1444"/>
      <c r="G173" s="550" t="str">
        <f>+'Plan de Accion apoyo transversa'!X184</f>
        <v>Estrategia de pedagogía externa sobre el flujo de recursos del sistema de salud que es administrado por la ADRES</v>
      </c>
      <c r="H173" s="215" t="str">
        <f>+'Plan de Accion apoyo transversa'!AK184</f>
        <v># de jornadas pedagógicas con actores externos del sistema de salud.</v>
      </c>
      <c r="J173" s="218">
        <f>+'Plan de Accion apoyo transversa'!AT184</f>
        <v>0</v>
      </c>
      <c r="K173" s="544" t="str">
        <f>+'Plan de Accion apoyo transversa'!CE184</f>
        <v>No Prog ni Ejec</v>
      </c>
      <c r="L173" s="544" t="s">
        <v>204</v>
      </c>
      <c r="M173" s="544">
        <f>+'Plan de Accion apoyo transversa'!AX184</f>
        <v>0</v>
      </c>
      <c r="N173" s="544">
        <f t="shared" ref="N173" si="152">IF(M173&gt;100%,100%,M173)</f>
        <v>0</v>
      </c>
      <c r="O173" s="546" t="s">
        <v>204</v>
      </c>
      <c r="P173" s="213"/>
      <c r="Q173" s="218">
        <f>+'Plan de Accion apoyo transversa'!BD184</f>
        <v>2</v>
      </c>
      <c r="R173" s="248">
        <f>+'Plan de Accion apoyo transversa'!CG184</f>
        <v>2</v>
      </c>
      <c r="S173" s="212">
        <f t="shared" ref="S173" si="153">IF(R173&gt;100%,100%,R173)</f>
        <v>1</v>
      </c>
      <c r="T173" s="544">
        <f>+'Plan de Accion apoyo transversa'!BH184</f>
        <v>0.66666666666666663</v>
      </c>
      <c r="U173" s="544">
        <f t="shared" ref="U173" si="154">IF(T173&gt;100%,100%,T173)</f>
        <v>0.66666666666666663</v>
      </c>
      <c r="V173" s="211">
        <f t="shared" ref="V173" si="155">+U173</f>
        <v>0.66666666666666663</v>
      </c>
      <c r="W173" s="213"/>
      <c r="X173" s="218">
        <f>+'Plan de Accion apoyo transversa'!BN184</f>
        <v>1</v>
      </c>
      <c r="Y173" s="248">
        <f>+'Plan de Accion apoyo transversa'!CI184</f>
        <v>1</v>
      </c>
      <c r="Z173" s="212">
        <f t="shared" ref="Z173:Z181" si="156">IF(Y173&gt;100%,100%,Y173)</f>
        <v>1</v>
      </c>
      <c r="AA173" s="217">
        <f>+'Plan de Accion apoyo transversa'!BR184</f>
        <v>1</v>
      </c>
      <c r="AB173" s="217">
        <f t="shared" ref="AB173" si="157">IF(AA173&gt;100%,100%,AA173)</f>
        <v>1</v>
      </c>
      <c r="AC173" s="548">
        <f>+AB173</f>
        <v>1</v>
      </c>
      <c r="AD173" s="213"/>
      <c r="AE173" s="219">
        <f>+'Plan de Accion apoyo transversa'!BX184</f>
        <v>1</v>
      </c>
      <c r="AF173" s="248">
        <f>+'Plan de Accion apoyo transversa'!CK184</f>
        <v>1</v>
      </c>
      <c r="AG173" s="212">
        <f t="shared" ref="AG173" si="158">IF(AF173&gt;100%,100%,AF173)</f>
        <v>1</v>
      </c>
      <c r="AH173" s="248">
        <f>+'Plan de Accion apoyo transversa'!CB184</f>
        <v>1.3333333333333333</v>
      </c>
      <c r="AI173" s="211">
        <f t="shared" ref="AI173" si="159">IF(AH173&gt;100%,100%,AH173)</f>
        <v>1</v>
      </c>
      <c r="AJ173" s="553"/>
      <c r="AK173" s="1167">
        <v>1</v>
      </c>
      <c r="AL173" s="555"/>
      <c r="AM173" s="551"/>
      <c r="AN173" s="204"/>
      <c r="AO173" s="238"/>
      <c r="AP173" s="551"/>
      <c r="AQ173" s="204"/>
      <c r="AR173" s="555"/>
      <c r="AS173" s="551"/>
      <c r="AT173" s="204"/>
      <c r="AU173" s="555"/>
      <c r="AV173" s="551"/>
      <c r="AW173" s="202"/>
      <c r="AX173" s="552"/>
      <c r="AY173" s="235"/>
      <c r="AZ173" s="555"/>
      <c r="BA173" s="551"/>
      <c r="BB173" s="204"/>
      <c r="BC173" s="238"/>
      <c r="BD173" s="551"/>
      <c r="BE173" s="204"/>
      <c r="BF173" s="555"/>
      <c r="BG173" s="551"/>
      <c r="BH173" s="204"/>
      <c r="BI173" s="555"/>
      <c r="BJ173" s="551"/>
      <c r="BK173" s="202"/>
      <c r="BL173" s="552"/>
      <c r="BN173" s="555"/>
      <c r="BO173" s="551"/>
      <c r="BP173" s="204"/>
      <c r="BQ173" s="238"/>
      <c r="BR173" s="551"/>
      <c r="BS173" s="204"/>
      <c r="BT173" s="555"/>
      <c r="BU173" s="551"/>
      <c r="BV173" s="204"/>
      <c r="BW173" s="555"/>
      <c r="BX173" s="551"/>
      <c r="BY173" s="202"/>
      <c r="BZ173" s="552"/>
      <c r="CB173" s="555"/>
      <c r="CC173" s="551"/>
      <c r="CD173" s="204"/>
      <c r="CE173" s="238"/>
      <c r="CF173" s="551"/>
      <c r="CG173" s="204"/>
      <c r="CH173" s="555"/>
      <c r="CI173" s="551"/>
      <c r="CJ173" s="204"/>
      <c r="CK173" s="555"/>
      <c r="CL173" s="551"/>
      <c r="CM173" s="202"/>
      <c r="CN173" s="552"/>
    </row>
    <row r="174" spans="2:92" ht="42.75" x14ac:dyDescent="0.2">
      <c r="B174" s="1589"/>
      <c r="C174" s="1471"/>
      <c r="D174" s="1497"/>
      <c r="E174" s="1440"/>
      <c r="F174" s="1442" t="s">
        <v>336</v>
      </c>
      <c r="G174" s="315" t="str">
        <f>+'Plan de Accion apoyo transversa'!X14</f>
        <v>Informe de audiencia pública de rendición de cuentas</v>
      </c>
      <c r="H174" s="215" t="str">
        <f>+'Plan de Accion apoyo transversa'!AK14</f>
        <v># Informes e audiencia pública de rendición de cuentas</v>
      </c>
      <c r="J174" s="218">
        <f>+'Plan de Accion apoyo transversa'!AT14</f>
        <v>0</v>
      </c>
      <c r="K174" s="476" t="str">
        <f>+'Plan de Accion apoyo transversa'!CE14</f>
        <v>No Prog ni Ejec</v>
      </c>
      <c r="L174" s="476" t="s">
        <v>204</v>
      </c>
      <c r="M174" s="476">
        <f>+'Plan de Accion apoyo transversa'!AX14</f>
        <v>0</v>
      </c>
      <c r="N174" s="476">
        <f t="shared" si="117"/>
        <v>0</v>
      </c>
      <c r="O174" s="478" t="s">
        <v>204</v>
      </c>
      <c r="P174" s="213"/>
      <c r="Q174" s="218">
        <f>+'Plan de Accion apoyo transversa'!BD14</f>
        <v>0</v>
      </c>
      <c r="R174" s="248" t="str">
        <f>+'Plan de Accion apoyo transversa'!CG14</f>
        <v>No Prog ni Ejec</v>
      </c>
      <c r="S174" s="212" t="s">
        <v>204</v>
      </c>
      <c r="T174" s="304">
        <f>+'Plan de Accion apoyo transversa'!BH14</f>
        <v>0</v>
      </c>
      <c r="U174" s="304">
        <f t="shared" ref="U174:U181" si="160">IF(T174&gt;100%,100%,T174)</f>
        <v>0</v>
      </c>
      <c r="V174" s="211" t="s">
        <v>204</v>
      </c>
      <c r="W174" s="213"/>
      <c r="X174" s="218">
        <f>+'Plan de Accion apoyo transversa'!BN14</f>
        <v>1</v>
      </c>
      <c r="Y174" s="248">
        <f>+'Plan de Accion apoyo transversa'!CI14</f>
        <v>1</v>
      </c>
      <c r="Z174" s="212">
        <f t="shared" si="156"/>
        <v>1</v>
      </c>
      <c r="AA174" s="217">
        <f>+'Plan de Accion apoyo transversa'!BR14</f>
        <v>1</v>
      </c>
      <c r="AB174" s="217">
        <f t="shared" ref="AB174:AB181" si="161">IF(AA174&gt;100%,100%,AA174)</f>
        <v>1</v>
      </c>
      <c r="AC174" s="216">
        <f t="shared" ref="AC174:AC181" si="162">+AB174</f>
        <v>1</v>
      </c>
      <c r="AD174" s="213"/>
      <c r="AE174" s="219">
        <f>+'Plan de Accion apoyo transversa'!BX14</f>
        <v>0</v>
      </c>
      <c r="AF174" s="248" t="str">
        <f>+'Plan de Accion apoyo transversa'!CK14</f>
        <v>No Prog ni Ejec</v>
      </c>
      <c r="AG174" s="212" t="s">
        <v>204</v>
      </c>
      <c r="AH174" s="248">
        <f>+'Plan de Accion apoyo transversa'!CB14</f>
        <v>1</v>
      </c>
      <c r="AI174" s="211">
        <f t="shared" ref="AI174:AI181" si="163">IF(AH174&gt;100%,100%,AH174)</f>
        <v>1</v>
      </c>
      <c r="AJ174" s="210"/>
      <c r="AK174" s="1167"/>
      <c r="AL174" s="237"/>
      <c r="AM174" s="207"/>
      <c r="AN174" s="204"/>
      <c r="AO174" s="238"/>
      <c r="AP174" s="207"/>
      <c r="AQ174" s="204"/>
      <c r="AR174" s="237"/>
      <c r="AS174" s="207"/>
      <c r="AT174" s="204"/>
      <c r="AU174" s="237"/>
      <c r="AV174" s="207"/>
      <c r="AW174" s="202"/>
      <c r="AX174" s="206"/>
      <c r="AY174" s="235"/>
      <c r="AZ174" s="237"/>
      <c r="BA174" s="207"/>
      <c r="BB174" s="204"/>
      <c r="BC174" s="238"/>
      <c r="BD174" s="207"/>
      <c r="BE174" s="204"/>
      <c r="BF174" s="237"/>
      <c r="BG174" s="207"/>
      <c r="BH174" s="204"/>
      <c r="BI174" s="237"/>
      <c r="BJ174" s="207"/>
      <c r="BK174" s="202"/>
      <c r="BL174" s="206"/>
      <c r="BN174" s="237"/>
      <c r="BO174" s="207"/>
      <c r="BP174" s="204"/>
      <c r="BQ174" s="238"/>
      <c r="BR174" s="207"/>
      <c r="BS174" s="204"/>
      <c r="BT174" s="237"/>
      <c r="BU174" s="207"/>
      <c r="BV174" s="204"/>
      <c r="BW174" s="237"/>
      <c r="BX174" s="207"/>
      <c r="BY174" s="202"/>
      <c r="BZ174" s="206"/>
      <c r="CB174" s="237"/>
      <c r="CC174" s="207"/>
      <c r="CD174" s="204"/>
      <c r="CE174" s="238"/>
      <c r="CF174" s="207"/>
      <c r="CG174" s="204"/>
      <c r="CH174" s="237"/>
      <c r="CI174" s="207"/>
      <c r="CJ174" s="204"/>
      <c r="CK174" s="237"/>
      <c r="CL174" s="207"/>
      <c r="CM174" s="202"/>
      <c r="CN174" s="206"/>
    </row>
    <row r="175" spans="2:92" ht="57.75" customHeight="1" x14ac:dyDescent="0.2">
      <c r="B175" s="1589"/>
      <c r="C175" s="1471"/>
      <c r="D175" s="1497"/>
      <c r="E175" s="1440"/>
      <c r="F175" s="1443"/>
      <c r="G175" s="315" t="str">
        <f>+'Plan de Accion apoyo transversa'!X15</f>
        <v>Campaña interna de sensibilización sobre la importancia de la Rendición de Cuentas.</v>
      </c>
      <c r="H175" s="215" t="str">
        <f>+'Plan de Accion apoyo transversa'!AK15</f>
        <v># Campañas internas de sensibilización sobre la importancia de la Rendición de Cuentas.</v>
      </c>
      <c r="J175" s="218">
        <f>+'Plan de Accion apoyo transversa'!AT15</f>
        <v>0</v>
      </c>
      <c r="K175" s="476" t="str">
        <f>+'Plan de Accion apoyo transversa'!CE15</f>
        <v>No Prog ni Ejec</v>
      </c>
      <c r="L175" s="476" t="s">
        <v>204</v>
      </c>
      <c r="M175" s="476">
        <f>+'Plan de Accion apoyo transversa'!AX15</f>
        <v>0</v>
      </c>
      <c r="N175" s="476">
        <f t="shared" si="117"/>
        <v>0</v>
      </c>
      <c r="O175" s="478" t="s">
        <v>204</v>
      </c>
      <c r="P175" s="213"/>
      <c r="Q175" s="218">
        <f>+'Plan de Accion apoyo transversa'!BD15</f>
        <v>0</v>
      </c>
      <c r="R175" s="248" t="str">
        <f>+'Plan de Accion apoyo transversa'!CG15</f>
        <v>No Prog ni Ejec</v>
      </c>
      <c r="S175" s="212" t="s">
        <v>204</v>
      </c>
      <c r="T175" s="304">
        <f>+'Plan de Accion apoyo transversa'!BH15</f>
        <v>0</v>
      </c>
      <c r="U175" s="304">
        <f t="shared" si="160"/>
        <v>0</v>
      </c>
      <c r="V175" s="211" t="s">
        <v>204</v>
      </c>
      <c r="W175" s="213"/>
      <c r="X175" s="218">
        <f>+'Plan de Accion apoyo transversa'!BN15</f>
        <v>1</v>
      </c>
      <c r="Y175" s="248">
        <f>+'Plan de Accion apoyo transversa'!CI15</f>
        <v>1</v>
      </c>
      <c r="Z175" s="212">
        <f t="shared" si="156"/>
        <v>1</v>
      </c>
      <c r="AA175" s="217">
        <f>+'Plan de Accion apoyo transversa'!BR15</f>
        <v>1</v>
      </c>
      <c r="AB175" s="217">
        <f t="shared" si="161"/>
        <v>1</v>
      </c>
      <c r="AC175" s="216">
        <f t="shared" si="162"/>
        <v>1</v>
      </c>
      <c r="AD175" s="213"/>
      <c r="AE175" s="219">
        <f>+'Plan de Accion apoyo transversa'!BX15</f>
        <v>0</v>
      </c>
      <c r="AF175" s="248" t="str">
        <f>+'Plan de Accion apoyo transversa'!CK15</f>
        <v>No Prog ni Ejec</v>
      </c>
      <c r="AG175" s="212" t="s">
        <v>204</v>
      </c>
      <c r="AH175" s="248">
        <f>+'Plan de Accion apoyo transversa'!CB15</f>
        <v>1</v>
      </c>
      <c r="AI175" s="211">
        <f t="shared" si="163"/>
        <v>1</v>
      </c>
      <c r="AJ175" s="210"/>
      <c r="AK175" s="1167"/>
      <c r="AL175" s="237"/>
      <c r="AM175" s="207"/>
      <c r="AN175" s="204"/>
      <c r="AO175" s="238"/>
      <c r="AP175" s="207"/>
      <c r="AQ175" s="204"/>
      <c r="AR175" s="237"/>
      <c r="AS175" s="207"/>
      <c r="AT175" s="204"/>
      <c r="AU175" s="237"/>
      <c r="AV175" s="207"/>
      <c r="AW175" s="202"/>
      <c r="AX175" s="206"/>
      <c r="AY175" s="235"/>
      <c r="AZ175" s="237"/>
      <c r="BA175" s="207"/>
      <c r="BB175" s="204"/>
      <c r="BC175" s="238"/>
      <c r="BD175" s="207"/>
      <c r="BE175" s="204"/>
      <c r="BF175" s="237"/>
      <c r="BG175" s="207"/>
      <c r="BH175" s="204"/>
      <c r="BI175" s="237"/>
      <c r="BJ175" s="207"/>
      <c r="BK175" s="202"/>
      <c r="BL175" s="206"/>
      <c r="BN175" s="237"/>
      <c r="BO175" s="207"/>
      <c r="BP175" s="204"/>
      <c r="BQ175" s="238"/>
      <c r="BR175" s="207"/>
      <c r="BS175" s="204"/>
      <c r="BT175" s="237"/>
      <c r="BU175" s="207"/>
      <c r="BV175" s="204"/>
      <c r="BW175" s="237"/>
      <c r="BX175" s="207"/>
      <c r="BY175" s="202"/>
      <c r="BZ175" s="206"/>
      <c r="CB175" s="237"/>
      <c r="CC175" s="207"/>
      <c r="CD175" s="204"/>
      <c r="CE175" s="238"/>
      <c r="CF175" s="207"/>
      <c r="CG175" s="204"/>
      <c r="CH175" s="237"/>
      <c r="CI175" s="207"/>
      <c r="CJ175" s="204"/>
      <c r="CK175" s="237"/>
      <c r="CL175" s="207"/>
      <c r="CM175" s="202"/>
      <c r="CN175" s="206"/>
    </row>
    <row r="176" spans="2:92" ht="63.75" customHeight="1" x14ac:dyDescent="0.2">
      <c r="B176" s="1589"/>
      <c r="C176" s="1471"/>
      <c r="D176" s="1497"/>
      <c r="E176" s="1440"/>
      <c r="F176" s="1443"/>
      <c r="G176" s="315" t="str">
        <f>+'Plan de Accion apoyo transversa'!X16</f>
        <v>Campaña externa de sensibilización sobre la importancia de la Rendición de Cuentas.</v>
      </c>
      <c r="H176" s="215" t="str">
        <f>+'Plan de Accion apoyo transversa'!AK16</f>
        <v># Campaña externa de sensibilización sobre la importancia de la Rendición de Cuentas.</v>
      </c>
      <c r="J176" s="218">
        <f>+'Plan de Accion apoyo transversa'!AT16</f>
        <v>0</v>
      </c>
      <c r="K176" s="476" t="str">
        <f>+'Plan de Accion apoyo transversa'!CE16</f>
        <v>No Prog ni Ejec</v>
      </c>
      <c r="L176" s="476" t="s">
        <v>204</v>
      </c>
      <c r="M176" s="476">
        <f>+'Plan de Accion apoyo transversa'!AX16</f>
        <v>0</v>
      </c>
      <c r="N176" s="476">
        <f t="shared" si="117"/>
        <v>0</v>
      </c>
      <c r="O176" s="478" t="s">
        <v>204</v>
      </c>
      <c r="P176" s="213"/>
      <c r="Q176" s="218">
        <f>+'Plan de Accion apoyo transversa'!BD16</f>
        <v>0</v>
      </c>
      <c r="R176" s="248" t="str">
        <f>+'Plan de Accion apoyo transversa'!CG16</f>
        <v>No Prog ni Ejec</v>
      </c>
      <c r="S176" s="212" t="s">
        <v>204</v>
      </c>
      <c r="T176" s="304">
        <f>+'Plan de Accion apoyo transversa'!BH16</f>
        <v>0</v>
      </c>
      <c r="U176" s="304">
        <f t="shared" si="160"/>
        <v>0</v>
      </c>
      <c r="V176" s="211" t="s">
        <v>204</v>
      </c>
      <c r="W176" s="213"/>
      <c r="X176" s="218">
        <f>+'Plan de Accion apoyo transversa'!BN16</f>
        <v>1</v>
      </c>
      <c r="Y176" s="248">
        <f>+'Plan de Accion apoyo transversa'!CI16</f>
        <v>1</v>
      </c>
      <c r="Z176" s="212">
        <f t="shared" si="156"/>
        <v>1</v>
      </c>
      <c r="AA176" s="217">
        <f>+'Plan de Accion apoyo transversa'!BR16</f>
        <v>1</v>
      </c>
      <c r="AB176" s="217">
        <f t="shared" si="161"/>
        <v>1</v>
      </c>
      <c r="AC176" s="216">
        <f t="shared" si="162"/>
        <v>1</v>
      </c>
      <c r="AD176" s="213"/>
      <c r="AE176" s="219">
        <f>+'Plan de Accion apoyo transversa'!BX16</f>
        <v>0</v>
      </c>
      <c r="AF176" s="248" t="str">
        <f>+'Plan de Accion apoyo transversa'!CK16</f>
        <v>No Prog ni Ejec</v>
      </c>
      <c r="AG176" s="212" t="s">
        <v>204</v>
      </c>
      <c r="AH176" s="248">
        <f>+'Plan de Accion apoyo transversa'!CB16</f>
        <v>1</v>
      </c>
      <c r="AI176" s="211">
        <f t="shared" si="163"/>
        <v>1</v>
      </c>
      <c r="AJ176" s="210"/>
      <c r="AK176" s="1167"/>
      <c r="AL176" s="237"/>
      <c r="AM176" s="207"/>
      <c r="AN176" s="204"/>
      <c r="AO176" s="238"/>
      <c r="AP176" s="207"/>
      <c r="AQ176" s="204"/>
      <c r="AR176" s="237"/>
      <c r="AS176" s="207"/>
      <c r="AT176" s="204"/>
      <c r="AU176" s="237"/>
      <c r="AV176" s="207"/>
      <c r="AW176" s="202"/>
      <c r="AX176" s="206"/>
      <c r="AY176" s="235"/>
      <c r="AZ176" s="237"/>
      <c r="BA176" s="207"/>
      <c r="BB176" s="204"/>
      <c r="BC176" s="238"/>
      <c r="BD176" s="207"/>
      <c r="BE176" s="204"/>
      <c r="BF176" s="237"/>
      <c r="BG176" s="207"/>
      <c r="BH176" s="204"/>
      <c r="BI176" s="237"/>
      <c r="BJ176" s="207"/>
      <c r="BK176" s="202"/>
      <c r="BL176" s="206"/>
      <c r="BN176" s="237"/>
      <c r="BO176" s="207"/>
      <c r="BP176" s="204"/>
      <c r="BQ176" s="238"/>
      <c r="BR176" s="207"/>
      <c r="BS176" s="204"/>
      <c r="BT176" s="237"/>
      <c r="BU176" s="207"/>
      <c r="BV176" s="204"/>
      <c r="BW176" s="237"/>
      <c r="BX176" s="207"/>
      <c r="BY176" s="202"/>
      <c r="BZ176" s="206"/>
      <c r="CB176" s="237"/>
      <c r="CC176" s="207"/>
      <c r="CD176" s="204"/>
      <c r="CE176" s="238"/>
      <c r="CF176" s="207"/>
      <c r="CG176" s="204"/>
      <c r="CH176" s="237"/>
      <c r="CI176" s="207"/>
      <c r="CJ176" s="204"/>
      <c r="CK176" s="237"/>
      <c r="CL176" s="207"/>
      <c r="CM176" s="202"/>
      <c r="CN176" s="206"/>
    </row>
    <row r="177" spans="2:92" ht="75" customHeight="1" x14ac:dyDescent="0.2">
      <c r="B177" s="1589"/>
      <c r="C177" s="1471"/>
      <c r="D177" s="1497"/>
      <c r="E177" s="1440"/>
      <c r="F177" s="1443"/>
      <c r="G177" s="1442" t="str">
        <f>+'Plan de Accion apoyo transversa'!X166</f>
        <v>Audiencia pública de Rendición de cuentas externa realizadas</v>
      </c>
      <c r="H177" s="215" t="str">
        <f>+'Plan de Accion apoyo transversa'!AK166</f>
        <v># Informes de Rendición de Cuentas externa de la ADRES publicados</v>
      </c>
      <c r="J177" s="218">
        <f>+'Plan de Accion apoyo transversa'!AT166</f>
        <v>0</v>
      </c>
      <c r="K177" s="476" t="str">
        <f>+'Plan de Accion apoyo transversa'!CE166</f>
        <v>No Prog ni Ejec</v>
      </c>
      <c r="L177" s="476" t="s">
        <v>204</v>
      </c>
      <c r="M177" s="476">
        <f>+'Plan de Accion apoyo transversa'!AX166</f>
        <v>0</v>
      </c>
      <c r="N177" s="476">
        <f t="shared" si="117"/>
        <v>0</v>
      </c>
      <c r="O177" s="478" t="s">
        <v>204</v>
      </c>
      <c r="P177" s="213"/>
      <c r="Q177" s="218">
        <f>+'Plan de Accion apoyo transversa'!BD166</f>
        <v>0</v>
      </c>
      <c r="R177" s="248" t="str">
        <f>+'Plan de Accion apoyo transversa'!CG166</f>
        <v>No Prog ni Ejec</v>
      </c>
      <c r="S177" s="212" t="s">
        <v>204</v>
      </c>
      <c r="T177" s="304">
        <f>+'Plan de Accion apoyo transversa'!BH166</f>
        <v>0</v>
      </c>
      <c r="U177" s="304">
        <f t="shared" si="160"/>
        <v>0</v>
      </c>
      <c r="V177" s="211" t="s">
        <v>204</v>
      </c>
      <c r="W177" s="213"/>
      <c r="X177" s="218">
        <f>+'Plan de Accion apoyo transversa'!BN166</f>
        <v>1</v>
      </c>
      <c r="Y177" s="248">
        <f>+'Plan de Accion apoyo transversa'!CI166</f>
        <v>1</v>
      </c>
      <c r="Z177" s="212">
        <f t="shared" si="156"/>
        <v>1</v>
      </c>
      <c r="AA177" s="217">
        <f>+'Plan de Accion apoyo transversa'!BR166</f>
        <v>1</v>
      </c>
      <c r="AB177" s="217">
        <f t="shared" si="161"/>
        <v>1</v>
      </c>
      <c r="AC177" s="216">
        <f t="shared" si="162"/>
        <v>1</v>
      </c>
      <c r="AD177" s="213"/>
      <c r="AE177" s="219">
        <f>+'Plan de Accion apoyo transversa'!BX166</f>
        <v>0</v>
      </c>
      <c r="AF177" s="248" t="str">
        <f>+'Plan de Accion apoyo transversa'!CK166</f>
        <v>No Prog ni Ejec</v>
      </c>
      <c r="AG177" s="212" t="s">
        <v>204</v>
      </c>
      <c r="AH177" s="248">
        <f>+'Plan de Accion apoyo transversa'!CB166</f>
        <v>1</v>
      </c>
      <c r="AI177" s="211">
        <f t="shared" si="163"/>
        <v>1</v>
      </c>
      <c r="AJ177" s="210"/>
      <c r="AK177" s="1167"/>
      <c r="AL177" s="237"/>
      <c r="AM177" s="207"/>
      <c r="AN177" s="204"/>
      <c r="AO177" s="238"/>
      <c r="AP177" s="207"/>
      <c r="AQ177" s="204"/>
      <c r="AR177" s="237"/>
      <c r="AS177" s="207"/>
      <c r="AT177" s="204"/>
      <c r="AU177" s="237"/>
      <c r="AV177" s="207"/>
      <c r="AW177" s="202"/>
      <c r="AX177" s="206"/>
      <c r="AY177" s="235"/>
      <c r="AZ177" s="237"/>
      <c r="BA177" s="207"/>
      <c r="BB177" s="204"/>
      <c r="BC177" s="238"/>
      <c r="BD177" s="207"/>
      <c r="BE177" s="204"/>
      <c r="BF177" s="237"/>
      <c r="BG177" s="207"/>
      <c r="BH177" s="204"/>
      <c r="BI177" s="237"/>
      <c r="BJ177" s="207"/>
      <c r="BK177" s="202"/>
      <c r="BL177" s="206"/>
      <c r="BN177" s="237"/>
      <c r="BO177" s="207"/>
      <c r="BP177" s="204"/>
      <c r="BQ177" s="238"/>
      <c r="BR177" s="207"/>
      <c r="BS177" s="204"/>
      <c r="BT177" s="237"/>
      <c r="BU177" s="207"/>
      <c r="BV177" s="204"/>
      <c r="BW177" s="237"/>
      <c r="BX177" s="207"/>
      <c r="BY177" s="202"/>
      <c r="BZ177" s="206"/>
      <c r="CB177" s="237"/>
      <c r="CC177" s="207"/>
      <c r="CD177" s="204"/>
      <c r="CE177" s="238"/>
      <c r="CF177" s="207"/>
      <c r="CG177" s="204"/>
      <c r="CH177" s="237"/>
      <c r="CI177" s="207"/>
      <c r="CJ177" s="204"/>
      <c r="CK177" s="237"/>
      <c r="CL177" s="207"/>
      <c r="CM177" s="202"/>
      <c r="CN177" s="206"/>
    </row>
    <row r="178" spans="2:92" ht="75" customHeight="1" x14ac:dyDescent="0.2">
      <c r="B178" s="1589"/>
      <c r="C178" s="1471"/>
      <c r="D178" s="1497"/>
      <c r="E178" s="1440"/>
      <c r="F178" s="1443"/>
      <c r="G178" s="1444"/>
      <c r="H178" s="215" t="str">
        <f>+'Plan de Accion apoyo transversa'!AK167</f>
        <v># de Jornadas de rendición de cuentas externas</v>
      </c>
      <c r="J178" s="218">
        <f>+'Plan de Accion apoyo transversa'!AT167</f>
        <v>0</v>
      </c>
      <c r="K178" s="544" t="str">
        <f>+'Plan de Accion apoyo transversa'!CE167</f>
        <v>No Prog ni Ejec</v>
      </c>
      <c r="L178" s="544" t="s">
        <v>204</v>
      </c>
      <c r="M178" s="544">
        <f>+'Plan de Accion apoyo transversa'!AX167</f>
        <v>0</v>
      </c>
      <c r="N178" s="544">
        <f t="shared" ref="N178" si="164">IF(M178&gt;100%,100%,M178)</f>
        <v>0</v>
      </c>
      <c r="O178" s="546" t="s">
        <v>204</v>
      </c>
      <c r="P178" s="213"/>
      <c r="Q178" s="218">
        <f>+'Plan de Accion apoyo transversa'!BD167</f>
        <v>0</v>
      </c>
      <c r="R178" s="248" t="str">
        <f>+'Plan de Accion apoyo transversa'!CG167</f>
        <v>No Prog ni Ejec</v>
      </c>
      <c r="S178" s="212" t="s">
        <v>204</v>
      </c>
      <c r="T178" s="544">
        <f>+'Plan de Accion apoyo transversa'!BH167</f>
        <v>0</v>
      </c>
      <c r="U178" s="544">
        <f t="shared" ref="U178" si="165">IF(T178&gt;100%,100%,T178)</f>
        <v>0</v>
      </c>
      <c r="V178" s="211" t="s">
        <v>204</v>
      </c>
      <c r="W178" s="213"/>
      <c r="X178" s="218">
        <f>+'Plan de Accion apoyo transversa'!BN167</f>
        <v>1</v>
      </c>
      <c r="Y178" s="248">
        <f>+'Plan de Accion apoyo transversa'!CI167</f>
        <v>1</v>
      </c>
      <c r="Z178" s="212">
        <f t="shared" ref="Z178" si="166">IF(Y178&gt;100%,100%,Y178)</f>
        <v>1</v>
      </c>
      <c r="AA178" s="217">
        <f>+'Plan de Accion apoyo transversa'!BR167</f>
        <v>1</v>
      </c>
      <c r="AB178" s="217">
        <f t="shared" ref="AB178" si="167">IF(AA178&gt;100%,100%,AA178)</f>
        <v>1</v>
      </c>
      <c r="AC178" s="216">
        <f t="shared" ref="AC178" si="168">+AB178</f>
        <v>1</v>
      </c>
      <c r="AD178" s="213"/>
      <c r="AE178" s="219">
        <f>+'Plan de Accion apoyo transversa'!BX167</f>
        <v>0</v>
      </c>
      <c r="AF178" s="248" t="str">
        <f>+'Plan de Accion apoyo transversa'!CK167</f>
        <v>No Prog ni Ejec</v>
      </c>
      <c r="AG178" s="212" t="s">
        <v>204</v>
      </c>
      <c r="AH178" s="248">
        <f>+'Plan de Accion apoyo transversa'!CB167</f>
        <v>1</v>
      </c>
      <c r="AI178" s="211">
        <f t="shared" ref="AI178" si="169">IF(AH178&gt;100%,100%,AH178)</f>
        <v>1</v>
      </c>
      <c r="AJ178" s="553"/>
      <c r="AK178" s="1167"/>
      <c r="AL178" s="555"/>
      <c r="AM178" s="551"/>
      <c r="AN178" s="204"/>
      <c r="AO178" s="238"/>
      <c r="AP178" s="551"/>
      <c r="AQ178" s="204"/>
      <c r="AR178" s="555"/>
      <c r="AS178" s="551"/>
      <c r="AT178" s="204"/>
      <c r="AU178" s="555"/>
      <c r="AV178" s="551"/>
      <c r="AW178" s="202"/>
      <c r="AX178" s="552"/>
      <c r="AY178" s="235"/>
      <c r="AZ178" s="555"/>
      <c r="BA178" s="551"/>
      <c r="BB178" s="204"/>
      <c r="BC178" s="238"/>
      <c r="BD178" s="551"/>
      <c r="BE178" s="204"/>
      <c r="BF178" s="555"/>
      <c r="BG178" s="551"/>
      <c r="BH178" s="204"/>
      <c r="BI178" s="555"/>
      <c r="BJ178" s="551"/>
      <c r="BK178" s="202"/>
      <c r="BL178" s="552"/>
      <c r="BN178" s="555"/>
      <c r="BO178" s="551"/>
      <c r="BP178" s="204"/>
      <c r="BQ178" s="238"/>
      <c r="BR178" s="551"/>
      <c r="BS178" s="204"/>
      <c r="BT178" s="555"/>
      <c r="BU178" s="551"/>
      <c r="BV178" s="204"/>
      <c r="BW178" s="555"/>
      <c r="BX178" s="551"/>
      <c r="BY178" s="202"/>
      <c r="BZ178" s="552"/>
      <c r="CB178" s="555"/>
      <c r="CC178" s="551"/>
      <c r="CD178" s="204"/>
      <c r="CE178" s="238"/>
      <c r="CF178" s="551"/>
      <c r="CG178" s="204"/>
      <c r="CH178" s="555"/>
      <c r="CI178" s="551"/>
      <c r="CJ178" s="204"/>
      <c r="CK178" s="555"/>
      <c r="CL178" s="551"/>
      <c r="CM178" s="202"/>
      <c r="CN178" s="552"/>
    </row>
    <row r="179" spans="2:92" ht="75" customHeight="1" x14ac:dyDescent="0.2">
      <c r="B179" s="1589"/>
      <c r="C179" s="1471"/>
      <c r="D179" s="1497"/>
      <c r="E179" s="1440"/>
      <c r="F179" s="1443"/>
      <c r="G179" s="1442" t="str">
        <f>+'Plan de Accion apoyo transversa'!X168</f>
        <v>Audiencia pública de Rendición de cuentas interna realizadas</v>
      </c>
      <c r="H179" s="215" t="str">
        <f>+'Plan de Accion apoyo transversa'!AK168</f>
        <v># Audiencias públicas de Rendición de cuentas interna realizadas</v>
      </c>
      <c r="J179" s="218">
        <f>+'Plan de Accion apoyo transversa'!AT168</f>
        <v>0</v>
      </c>
      <c r="K179" s="476" t="str">
        <f>+'Plan de Accion apoyo transversa'!CE168</f>
        <v>No Prog ni Ejec</v>
      </c>
      <c r="L179" s="476" t="s">
        <v>204</v>
      </c>
      <c r="M179" s="476">
        <f>+'Plan de Accion apoyo transversa'!AX168</f>
        <v>0</v>
      </c>
      <c r="N179" s="476">
        <f t="shared" si="117"/>
        <v>0</v>
      </c>
      <c r="O179" s="478" t="s">
        <v>204</v>
      </c>
      <c r="P179" s="213"/>
      <c r="Q179" s="218">
        <f>+'Plan de Accion apoyo transversa'!BD168</f>
        <v>0</v>
      </c>
      <c r="R179" s="248" t="str">
        <f>+'Plan de Accion apoyo transversa'!CG168</f>
        <v>No Prog ni Ejec</v>
      </c>
      <c r="S179" s="212" t="s">
        <v>204</v>
      </c>
      <c r="T179" s="304">
        <f>+'Plan de Accion apoyo transversa'!BH168</f>
        <v>0</v>
      </c>
      <c r="U179" s="304">
        <f t="shared" si="160"/>
        <v>0</v>
      </c>
      <c r="V179" s="211" t="s">
        <v>204</v>
      </c>
      <c r="W179" s="213"/>
      <c r="X179" s="218">
        <f>+'Plan de Accion apoyo transversa'!BN168</f>
        <v>0</v>
      </c>
      <c r="Y179" s="248">
        <f>+'Plan de Accion apoyo transversa'!CI168</f>
        <v>0</v>
      </c>
      <c r="Z179" s="212">
        <f t="shared" si="156"/>
        <v>0</v>
      </c>
      <c r="AA179" s="217">
        <f>+'Plan de Accion apoyo transversa'!BR168</f>
        <v>0</v>
      </c>
      <c r="AB179" s="217">
        <f t="shared" si="161"/>
        <v>0</v>
      </c>
      <c r="AC179" s="216">
        <f t="shared" si="162"/>
        <v>0</v>
      </c>
      <c r="AD179" s="213"/>
      <c r="AE179" s="219">
        <f>+'Plan de Accion apoyo transversa'!BX168</f>
        <v>1</v>
      </c>
      <c r="AF179" s="248" t="str">
        <f>+'Plan de Accion apoyo transversa'!CK168</f>
        <v>No Prog, Ejec=  1</v>
      </c>
      <c r="AG179" s="212" t="s">
        <v>204</v>
      </c>
      <c r="AH179" s="248">
        <f>+'Plan de Accion apoyo transversa'!CB168</f>
        <v>1</v>
      </c>
      <c r="AI179" s="211">
        <f t="shared" si="163"/>
        <v>1</v>
      </c>
      <c r="AJ179" s="210"/>
      <c r="AK179" s="1167"/>
      <c r="AL179" s="237"/>
      <c r="AM179" s="207"/>
      <c r="AN179" s="204"/>
      <c r="AO179" s="238"/>
      <c r="AP179" s="207"/>
      <c r="AQ179" s="204"/>
      <c r="AR179" s="237"/>
      <c r="AS179" s="207"/>
      <c r="AT179" s="204"/>
      <c r="AU179" s="237"/>
      <c r="AV179" s="207"/>
      <c r="AW179" s="202"/>
      <c r="AX179" s="206"/>
      <c r="AY179" s="235"/>
      <c r="AZ179" s="237"/>
      <c r="BA179" s="207"/>
      <c r="BB179" s="204"/>
      <c r="BC179" s="238"/>
      <c r="BD179" s="207"/>
      <c r="BE179" s="204"/>
      <c r="BF179" s="237"/>
      <c r="BG179" s="207"/>
      <c r="BH179" s="204"/>
      <c r="BI179" s="237"/>
      <c r="BJ179" s="207"/>
      <c r="BK179" s="202"/>
      <c r="BL179" s="206"/>
      <c r="BN179" s="237"/>
      <c r="BO179" s="207"/>
      <c r="BP179" s="204"/>
      <c r="BQ179" s="238"/>
      <c r="BR179" s="207"/>
      <c r="BS179" s="204"/>
      <c r="BT179" s="237"/>
      <c r="BU179" s="207"/>
      <c r="BV179" s="204"/>
      <c r="BW179" s="237"/>
      <c r="BX179" s="207"/>
      <c r="BY179" s="202"/>
      <c r="BZ179" s="206"/>
      <c r="CB179" s="237"/>
      <c r="CC179" s="207"/>
      <c r="CD179" s="204"/>
      <c r="CE179" s="238"/>
      <c r="CF179" s="207"/>
      <c r="CG179" s="204"/>
      <c r="CH179" s="237"/>
      <c r="CI179" s="207"/>
      <c r="CJ179" s="204"/>
      <c r="CK179" s="237"/>
      <c r="CL179" s="207"/>
      <c r="CM179" s="202"/>
      <c r="CN179" s="206"/>
    </row>
    <row r="180" spans="2:92" ht="75" customHeight="1" x14ac:dyDescent="0.2">
      <c r="B180" s="1589"/>
      <c r="C180" s="1471"/>
      <c r="D180" s="1497"/>
      <c r="E180" s="1440"/>
      <c r="F180" s="1443"/>
      <c r="G180" s="1444"/>
      <c r="H180" s="215" t="str">
        <f>+'Plan de Accion apoyo transversa'!AK169</f>
        <v xml:space="preserve"># Informes de Rendición de Cuentas interna de la ADRES publicados </v>
      </c>
      <c r="J180" s="218">
        <f>+'Plan de Accion apoyo transversa'!AT169</f>
        <v>0</v>
      </c>
      <c r="K180" s="544" t="str">
        <f>+'Plan de Accion apoyo transversa'!CE169</f>
        <v>d</v>
      </c>
      <c r="L180" s="544" t="s">
        <v>204</v>
      </c>
      <c r="M180" s="544">
        <f>+'Plan de Accion apoyo transversa'!AX169</f>
        <v>0</v>
      </c>
      <c r="N180" s="544">
        <f t="shared" ref="N180" si="170">IF(M180&gt;100%,100%,M180)</f>
        <v>0</v>
      </c>
      <c r="O180" s="546" t="s">
        <v>204</v>
      </c>
      <c r="P180" s="213"/>
      <c r="Q180" s="218">
        <f>+'Plan de Accion apoyo transversa'!BD169</f>
        <v>0</v>
      </c>
      <c r="R180" s="248" t="str">
        <f>+'Plan de Accion apoyo transversa'!CG169</f>
        <v>No Prog ni Ejec</v>
      </c>
      <c r="S180" s="212" t="s">
        <v>204</v>
      </c>
      <c r="T180" s="544">
        <f>+'Plan de Accion apoyo transversa'!BH169</f>
        <v>0</v>
      </c>
      <c r="U180" s="544">
        <f t="shared" ref="U180" si="171">IF(T180&gt;100%,100%,T180)</f>
        <v>0</v>
      </c>
      <c r="V180" s="211" t="s">
        <v>204</v>
      </c>
      <c r="W180" s="213"/>
      <c r="X180" s="218">
        <f>+'Plan de Accion apoyo transversa'!BN169</f>
        <v>0</v>
      </c>
      <c r="Y180" s="248">
        <f>+'Plan de Accion apoyo transversa'!CI169</f>
        <v>0</v>
      </c>
      <c r="Z180" s="212">
        <f t="shared" ref="Z180" si="172">IF(Y180&gt;100%,100%,Y180)</f>
        <v>0</v>
      </c>
      <c r="AA180" s="217">
        <f>+'Plan de Accion apoyo transversa'!BR169</f>
        <v>0</v>
      </c>
      <c r="AB180" s="217">
        <f t="shared" ref="AB180" si="173">IF(AA180&gt;100%,100%,AA180)</f>
        <v>0</v>
      </c>
      <c r="AC180" s="216">
        <f t="shared" ref="AC180" si="174">+AB180</f>
        <v>0</v>
      </c>
      <c r="AD180" s="213"/>
      <c r="AE180" s="219">
        <f>+'Plan de Accion apoyo transversa'!BX169</f>
        <v>1</v>
      </c>
      <c r="AF180" s="248" t="str">
        <f>+'Plan de Accion apoyo transversa'!CK169</f>
        <v>No Prog, Ejec=  1</v>
      </c>
      <c r="AG180" s="212" t="s">
        <v>204</v>
      </c>
      <c r="AH180" s="248">
        <f>+'Plan de Accion apoyo transversa'!CB169</f>
        <v>1</v>
      </c>
      <c r="AI180" s="211">
        <f t="shared" ref="AI180" si="175">IF(AH180&gt;100%,100%,AH180)</f>
        <v>1</v>
      </c>
      <c r="AJ180" s="553"/>
      <c r="AK180" s="1167"/>
      <c r="AL180" s="555"/>
      <c r="AM180" s="551"/>
      <c r="AN180" s="204"/>
      <c r="AO180" s="238"/>
      <c r="AP180" s="551"/>
      <c r="AQ180" s="204"/>
      <c r="AR180" s="555"/>
      <c r="AS180" s="551"/>
      <c r="AT180" s="204"/>
      <c r="AU180" s="555"/>
      <c r="AV180" s="551"/>
      <c r="AW180" s="202"/>
      <c r="AX180" s="552"/>
      <c r="AY180" s="235"/>
      <c r="AZ180" s="555"/>
      <c r="BA180" s="551"/>
      <c r="BB180" s="204"/>
      <c r="BC180" s="238"/>
      <c r="BD180" s="551"/>
      <c r="BE180" s="204"/>
      <c r="BF180" s="555"/>
      <c r="BG180" s="551"/>
      <c r="BH180" s="204"/>
      <c r="BI180" s="555"/>
      <c r="BJ180" s="551"/>
      <c r="BK180" s="202"/>
      <c r="BL180" s="552"/>
      <c r="BN180" s="555"/>
      <c r="BO180" s="551"/>
      <c r="BP180" s="204"/>
      <c r="BQ180" s="238"/>
      <c r="BR180" s="551"/>
      <c r="BS180" s="204"/>
      <c r="BT180" s="555"/>
      <c r="BU180" s="551"/>
      <c r="BV180" s="204"/>
      <c r="BW180" s="555"/>
      <c r="BX180" s="551"/>
      <c r="BY180" s="202"/>
      <c r="BZ180" s="552"/>
      <c r="CB180" s="555"/>
      <c r="CC180" s="551"/>
      <c r="CD180" s="204"/>
      <c r="CE180" s="238"/>
      <c r="CF180" s="551"/>
      <c r="CG180" s="204"/>
      <c r="CH180" s="555"/>
      <c r="CI180" s="551"/>
      <c r="CJ180" s="204"/>
      <c r="CK180" s="555"/>
      <c r="CL180" s="551"/>
      <c r="CM180" s="202"/>
      <c r="CN180" s="552"/>
    </row>
    <row r="181" spans="2:92" ht="75" customHeight="1" x14ac:dyDescent="0.2">
      <c r="B181" s="1589"/>
      <c r="C181" s="1471"/>
      <c r="D181" s="1498"/>
      <c r="E181" s="1441"/>
      <c r="F181" s="1444"/>
      <c r="G181" s="315" t="str">
        <f>+'Plan de Accion apoyo transversa'!X170</f>
        <v>Actividades de relacionamiento y rendición de cuentas realizadas</v>
      </c>
      <c r="H181" s="215" t="str">
        <f>+'Plan de Accion apoyo transversa'!AK170</f>
        <v># Actividades de relacionamiento y rendición de cuentas realizadas</v>
      </c>
      <c r="J181" s="218">
        <f>+'Plan de Accion apoyo transversa'!AT170</f>
        <v>1</v>
      </c>
      <c r="K181" s="476">
        <f>+'Plan de Accion apoyo transversa'!CE170</f>
        <v>1</v>
      </c>
      <c r="L181" s="476">
        <f>IF(K181&gt;100%,100%,K181)</f>
        <v>1</v>
      </c>
      <c r="M181" s="476">
        <f>+'Plan de Accion apoyo transversa'!AX170</f>
        <v>0.25</v>
      </c>
      <c r="N181" s="476">
        <f t="shared" si="117"/>
        <v>0.25</v>
      </c>
      <c r="O181" s="478">
        <f>+N181</f>
        <v>0.25</v>
      </c>
      <c r="P181" s="213"/>
      <c r="Q181" s="218">
        <f>+'Plan de Accion apoyo transversa'!BD170</f>
        <v>1</v>
      </c>
      <c r="R181" s="248">
        <f>+'Plan de Accion apoyo transversa'!CG170</f>
        <v>1</v>
      </c>
      <c r="S181" s="212">
        <f>IF(R181&gt;100%,100%,R181)</f>
        <v>1</v>
      </c>
      <c r="T181" s="304">
        <f>+'Plan de Accion apoyo transversa'!BH170</f>
        <v>0.5</v>
      </c>
      <c r="U181" s="304">
        <f t="shared" si="160"/>
        <v>0.5</v>
      </c>
      <c r="V181" s="211">
        <f>+U181</f>
        <v>0.5</v>
      </c>
      <c r="W181" s="213"/>
      <c r="X181" s="218">
        <f>+'Plan de Accion apoyo transversa'!BN170</f>
        <v>1</v>
      </c>
      <c r="Y181" s="248">
        <f>+'Plan de Accion apoyo transversa'!CI170</f>
        <v>1</v>
      </c>
      <c r="Z181" s="212">
        <f t="shared" si="156"/>
        <v>1</v>
      </c>
      <c r="AA181" s="217">
        <f>+'Plan de Accion apoyo transversa'!BR170</f>
        <v>0.75</v>
      </c>
      <c r="AB181" s="217">
        <f t="shared" si="161"/>
        <v>0.75</v>
      </c>
      <c r="AC181" s="216">
        <f t="shared" si="162"/>
        <v>0.75</v>
      </c>
      <c r="AD181" s="213"/>
      <c r="AE181" s="219">
        <f>+'Plan de Accion apoyo transversa'!BX170</f>
        <v>1</v>
      </c>
      <c r="AF181" s="248">
        <f>+'Plan de Accion apoyo transversa'!CK170</f>
        <v>1</v>
      </c>
      <c r="AG181" s="212">
        <f t="shared" ref="AG181:AG194" si="176">IF(AF181&gt;100%,100%,AF181)</f>
        <v>1</v>
      </c>
      <c r="AH181" s="248">
        <f>+'Plan de Accion apoyo transversa'!CB170</f>
        <v>1</v>
      </c>
      <c r="AI181" s="211">
        <f t="shared" si="163"/>
        <v>1</v>
      </c>
      <c r="AJ181" s="210"/>
      <c r="AK181" s="1167"/>
      <c r="AL181" s="237"/>
      <c r="AM181" s="207"/>
      <c r="AN181" s="204"/>
      <c r="AO181" s="238"/>
      <c r="AP181" s="207"/>
      <c r="AQ181" s="204"/>
      <c r="AR181" s="237"/>
      <c r="AS181" s="207"/>
      <c r="AT181" s="204"/>
      <c r="AU181" s="237"/>
      <c r="AV181" s="207"/>
      <c r="AW181" s="202"/>
      <c r="AX181" s="206"/>
      <c r="AY181" s="235"/>
      <c r="AZ181" s="237"/>
      <c r="BA181" s="207"/>
      <c r="BB181" s="204"/>
      <c r="BC181" s="238"/>
      <c r="BD181" s="207"/>
      <c r="BE181" s="204"/>
      <c r="BF181" s="237"/>
      <c r="BG181" s="207"/>
      <c r="BH181" s="204"/>
      <c r="BI181" s="237"/>
      <c r="BJ181" s="207"/>
      <c r="BK181" s="202"/>
      <c r="BL181" s="206"/>
      <c r="BN181" s="237"/>
      <c r="BO181" s="207"/>
      <c r="BP181" s="204"/>
      <c r="BQ181" s="238"/>
      <c r="BR181" s="207"/>
      <c r="BS181" s="204"/>
      <c r="BT181" s="237"/>
      <c r="BU181" s="207"/>
      <c r="BV181" s="204"/>
      <c r="BW181" s="237"/>
      <c r="BX181" s="207"/>
      <c r="BY181" s="202"/>
      <c r="BZ181" s="206"/>
      <c r="CB181" s="237"/>
      <c r="CC181" s="207"/>
      <c r="CD181" s="204"/>
      <c r="CE181" s="238"/>
      <c r="CF181" s="207"/>
      <c r="CG181" s="204"/>
      <c r="CH181" s="237"/>
      <c r="CI181" s="207"/>
      <c r="CJ181" s="204"/>
      <c r="CK181" s="237"/>
      <c r="CL181" s="207"/>
      <c r="CM181" s="202"/>
      <c r="CN181" s="206"/>
    </row>
    <row r="182" spans="2:92" ht="71.25" x14ac:dyDescent="0.2">
      <c r="B182" s="1589"/>
      <c r="C182" s="1471"/>
      <c r="D182" s="297" t="s">
        <v>204</v>
      </c>
      <c r="E182" s="315" t="s">
        <v>3</v>
      </c>
      <c r="F182" s="300" t="s">
        <v>330</v>
      </c>
      <c r="G182" s="315" t="str">
        <f>+'Plan de Accion apoyo transversa'!X46</f>
        <v>Entrega de Informes de Evaluación y Seguimiento de los Requerimientos Legales Externos en el marco de la normatividad vigente</v>
      </c>
      <c r="H182" s="215" t="str">
        <f>+'Plan de Accion apoyo transversa'!AK46</f>
        <v># de Informes Legales Externos presentados en cada trimestre Indicador Variable acumulado y de eficacia</v>
      </c>
      <c r="J182" s="218">
        <f>+'Plan de Accion apoyo transversa'!AT46</f>
        <v>8</v>
      </c>
      <c r="K182" s="476">
        <f>+'Plan de Accion apoyo transversa'!CE46</f>
        <v>1</v>
      </c>
      <c r="L182" s="476">
        <f>IF(K182&gt;100%,100%,K182)</f>
        <v>1</v>
      </c>
      <c r="M182" s="476">
        <f>+'Plan de Accion apoyo transversa'!AX46</f>
        <v>0.44444444444444442</v>
      </c>
      <c r="N182" s="476">
        <f t="shared" si="117"/>
        <v>0.44444444444444442</v>
      </c>
      <c r="O182" s="478">
        <f>+N182</f>
        <v>0.44444444444444442</v>
      </c>
      <c r="P182" s="213"/>
      <c r="Q182" s="218">
        <f>+'Plan de Accion apoyo transversa'!BD46</f>
        <v>4</v>
      </c>
      <c r="R182" s="248">
        <f>+'Plan de Accion apoyo transversa'!CG46</f>
        <v>1</v>
      </c>
      <c r="S182" s="212">
        <f>IF(R182&gt;100%,100%,R182)</f>
        <v>1</v>
      </c>
      <c r="T182" s="304">
        <f>+'Plan de Accion apoyo transversa'!BH46</f>
        <v>0.66666666666666663</v>
      </c>
      <c r="U182" s="304">
        <f t="shared" ref="U182:U187" si="177">IF(T182&gt;100%,100%,T182)</f>
        <v>0.66666666666666663</v>
      </c>
      <c r="V182" s="211">
        <f>+U182</f>
        <v>0.66666666666666663</v>
      </c>
      <c r="W182" s="213"/>
      <c r="X182" s="218">
        <f>+'Plan de Accion apoyo transversa'!BN46</f>
        <v>5</v>
      </c>
      <c r="Y182" s="248">
        <f>+'Plan de Accion apoyo transversa'!CI46</f>
        <v>1</v>
      </c>
      <c r="Z182" s="212">
        <f>IF(Y182&gt;100%,100%,Y182)</f>
        <v>1</v>
      </c>
      <c r="AA182" s="217">
        <f>+'Plan de Accion apoyo transversa'!BR46</f>
        <v>0.94444444444444442</v>
      </c>
      <c r="AB182" s="217">
        <f t="shared" ref="AB182:AB187" si="178">IF(AA182&gt;100%,100%,AA182)</f>
        <v>0.94444444444444442</v>
      </c>
      <c r="AC182" s="216">
        <f>+AB182</f>
        <v>0.94444444444444442</v>
      </c>
      <c r="AD182" s="213"/>
      <c r="AE182" s="219">
        <f>+'Plan de Accion apoyo transversa'!BX46</f>
        <v>1</v>
      </c>
      <c r="AF182" s="248">
        <f>+'Plan de Accion apoyo transversa'!CK46</f>
        <v>1</v>
      </c>
      <c r="AG182" s="212">
        <f t="shared" si="176"/>
        <v>1</v>
      </c>
      <c r="AH182" s="248">
        <f>+'Plan de Accion apoyo transversa'!CB46</f>
        <v>1</v>
      </c>
      <c r="AI182" s="211">
        <f t="shared" ref="AI182:AI187" si="179">IF(AH182&gt;100%,100%,AH182)</f>
        <v>1</v>
      </c>
      <c r="AJ182" s="230"/>
      <c r="AK182" s="1167"/>
      <c r="AL182" s="1488"/>
      <c r="AM182" s="1488"/>
      <c r="AN182" s="204"/>
      <c r="AO182" s="1501"/>
      <c r="AP182" s="1488"/>
      <c r="AQ182" s="204"/>
      <c r="AR182" s="1488"/>
      <c r="AS182" s="1488"/>
      <c r="AT182" s="204"/>
      <c r="AU182" s="1488"/>
      <c r="AV182" s="1488"/>
      <c r="AW182" s="202"/>
      <c r="AX182" s="229"/>
      <c r="AY182" s="235"/>
      <c r="AZ182" s="1488"/>
      <c r="BA182" s="1488"/>
      <c r="BB182" s="204"/>
      <c r="BC182" s="1501"/>
      <c r="BD182" s="1488"/>
      <c r="BE182" s="204"/>
      <c r="BF182" s="1488"/>
      <c r="BG182" s="1488"/>
      <c r="BH182" s="204"/>
      <c r="BI182" s="1488"/>
      <c r="BJ182" s="1488"/>
      <c r="BK182" s="202"/>
      <c r="BL182" s="229"/>
      <c r="BN182" s="1488"/>
      <c r="BO182" s="1488"/>
      <c r="BP182" s="204"/>
      <c r="BQ182" s="1501"/>
      <c r="BR182" s="1488"/>
      <c r="BS182" s="204"/>
      <c r="BT182" s="1488"/>
      <c r="BU182" s="1488"/>
      <c r="BV182" s="204"/>
      <c r="BW182" s="1488"/>
      <c r="BX182" s="1488"/>
      <c r="BY182" s="202"/>
      <c r="BZ182" s="229"/>
      <c r="CB182" s="1488"/>
      <c r="CC182" s="1488"/>
      <c r="CD182" s="204"/>
      <c r="CE182" s="1501"/>
      <c r="CF182" s="1488"/>
      <c r="CG182" s="204"/>
      <c r="CH182" s="1488"/>
      <c r="CI182" s="1488"/>
      <c r="CJ182" s="204"/>
      <c r="CK182" s="1488"/>
      <c r="CL182" s="1488"/>
      <c r="CM182" s="202"/>
      <c r="CN182" s="229"/>
    </row>
    <row r="183" spans="2:92" ht="71.25" x14ac:dyDescent="0.25">
      <c r="B183" s="1589"/>
      <c r="C183" s="1471"/>
      <c r="D183" s="1436" t="s">
        <v>204</v>
      </c>
      <c r="E183" s="1442" t="s">
        <v>14</v>
      </c>
      <c r="F183" s="338" t="s">
        <v>1179</v>
      </c>
      <c r="G183" s="288" t="str">
        <f>+'Plan de Accion apoyo transversa'!X64</f>
        <v>Rendición de Cuentas del Sistema de Seguridad y Salud en el Trabajo a todos los niveles de la Entidad  realizada</v>
      </c>
      <c r="H183" s="224" t="str">
        <f>+'Plan de Accion apoyo transversa'!AK64</f>
        <v># de actividades realizadas</v>
      </c>
      <c r="I183" s="236"/>
      <c r="J183" s="218">
        <f>+'Plan de Accion apoyo transversa'!AT64</f>
        <v>0</v>
      </c>
      <c r="K183" s="476" t="str">
        <f>+'Plan de Accion apoyo transversa'!CE64</f>
        <v>No Prog ni Ejec</v>
      </c>
      <c r="L183" s="476" t="s">
        <v>204</v>
      </c>
      <c r="M183" s="476">
        <f>+'Plan de Accion apoyo transversa'!AX64</f>
        <v>0</v>
      </c>
      <c r="N183" s="476">
        <f t="shared" si="117"/>
        <v>0</v>
      </c>
      <c r="O183" s="478" t="s">
        <v>204</v>
      </c>
      <c r="P183" s="213"/>
      <c r="Q183" s="218">
        <f>+'Plan de Accion apoyo transversa'!BD64</f>
        <v>0</v>
      </c>
      <c r="R183" s="248" t="str">
        <f>+'Plan de Accion apoyo transversa'!CG64</f>
        <v>No Prog ni Ejec</v>
      </c>
      <c r="S183" s="212" t="s">
        <v>204</v>
      </c>
      <c r="T183" s="304">
        <f>+'Plan de Accion apoyo transversa'!BH64</f>
        <v>0</v>
      </c>
      <c r="U183" s="304">
        <f t="shared" si="177"/>
        <v>0</v>
      </c>
      <c r="V183" s="211" t="s">
        <v>204</v>
      </c>
      <c r="W183" s="213"/>
      <c r="X183" s="218">
        <f>+'Plan de Accion apoyo transversa'!BN64</f>
        <v>0</v>
      </c>
      <c r="Y183" s="248" t="str">
        <f>+'Plan de Accion apoyo transversa'!CI64</f>
        <v>No Prog ni Ejec</v>
      </c>
      <c r="Z183" s="212" t="s">
        <v>204</v>
      </c>
      <c r="AA183" s="217">
        <f>+'Plan de Accion apoyo transversa'!BR64</f>
        <v>0</v>
      </c>
      <c r="AB183" s="217">
        <f t="shared" si="178"/>
        <v>0</v>
      </c>
      <c r="AC183" s="216" t="s">
        <v>204</v>
      </c>
      <c r="AD183" s="213"/>
      <c r="AE183" s="219">
        <f>+'Plan de Accion apoyo transversa'!BX64</f>
        <v>1</v>
      </c>
      <c r="AF183" s="248">
        <f>+'Plan de Accion apoyo transversa'!CK64</f>
        <v>1</v>
      </c>
      <c r="AG183" s="212">
        <f t="shared" si="176"/>
        <v>1</v>
      </c>
      <c r="AH183" s="248">
        <f>+'Plan de Accion apoyo transversa'!CB64</f>
        <v>1</v>
      </c>
      <c r="AI183" s="211">
        <f t="shared" si="179"/>
        <v>1</v>
      </c>
      <c r="AJ183" s="230"/>
      <c r="AK183" s="1167"/>
      <c r="AL183" s="1488"/>
      <c r="AM183" s="1488"/>
      <c r="AN183" s="204"/>
      <c r="AO183" s="1501"/>
      <c r="AP183" s="1488"/>
      <c r="AQ183" s="204"/>
      <c r="AR183" s="1488"/>
      <c r="AS183" s="1488"/>
      <c r="AT183" s="204"/>
      <c r="AU183" s="1488"/>
      <c r="AV183" s="1488"/>
      <c r="AW183" s="202"/>
      <c r="AX183" s="229"/>
      <c r="AY183" s="235"/>
      <c r="AZ183" s="1488"/>
      <c r="BA183" s="1488"/>
      <c r="BB183" s="204"/>
      <c r="BC183" s="1501"/>
      <c r="BD183" s="1488"/>
      <c r="BE183" s="204"/>
      <c r="BF183" s="1488"/>
      <c r="BG183" s="1488"/>
      <c r="BH183" s="204"/>
      <c r="BI183" s="1488"/>
      <c r="BJ183" s="1488"/>
      <c r="BK183" s="202"/>
      <c r="BL183" s="229"/>
      <c r="BN183" s="1488"/>
      <c r="BO183" s="1488"/>
      <c r="BP183" s="204"/>
      <c r="BQ183" s="1501"/>
      <c r="BR183" s="1488"/>
      <c r="BS183" s="204"/>
      <c r="BT183" s="1488"/>
      <c r="BU183" s="1488"/>
      <c r="BV183" s="204"/>
      <c r="BW183" s="1488"/>
      <c r="BX183" s="1488"/>
      <c r="BY183" s="202"/>
      <c r="BZ183" s="229"/>
      <c r="CB183" s="1488"/>
      <c r="CC183" s="1488"/>
      <c r="CD183" s="204"/>
      <c r="CE183" s="1501"/>
      <c r="CF183" s="1488"/>
      <c r="CG183" s="204"/>
      <c r="CH183" s="1488"/>
      <c r="CI183" s="1488"/>
      <c r="CJ183" s="204"/>
      <c r="CK183" s="1488"/>
      <c r="CL183" s="1488"/>
      <c r="CM183" s="202"/>
      <c r="CN183" s="229"/>
    </row>
    <row r="184" spans="2:92" ht="71.25" x14ac:dyDescent="0.25">
      <c r="B184" s="1589"/>
      <c r="C184" s="1471"/>
      <c r="D184" s="1437"/>
      <c r="E184" s="1443"/>
      <c r="F184" s="1442" t="s">
        <v>330</v>
      </c>
      <c r="G184" s="288" t="str">
        <f>+'Plan de Accion apoyo transversa'!X121</f>
        <v>Sistema de Gestión de PQRSD- CRM con funcionalidades para medir tiempos de atención y satisfacción del usuario</v>
      </c>
      <c r="H184" s="224" t="str">
        <f>+'Plan de Accion apoyo transversa'!AK121</f>
        <v># funcionalidades del Sistema de Gestión de PQRSD- CRM implementadas para medir tiempos de atención y satisfacción del usuario.</v>
      </c>
      <c r="I184" s="236"/>
      <c r="J184" s="218">
        <f>+'Plan de Accion apoyo transversa'!AT121</f>
        <v>0</v>
      </c>
      <c r="K184" s="476" t="str">
        <f>+'Plan de Accion apoyo transversa'!CE121</f>
        <v>No Prog ni Ejec</v>
      </c>
      <c r="L184" s="476" t="s">
        <v>204</v>
      </c>
      <c r="M184" s="476">
        <f>+'Plan de Accion apoyo transversa'!AX121</f>
        <v>0</v>
      </c>
      <c r="N184" s="476">
        <f t="shared" si="117"/>
        <v>0</v>
      </c>
      <c r="O184" s="478" t="s">
        <v>204</v>
      </c>
      <c r="P184" s="213"/>
      <c r="Q184" s="218">
        <f>+'Plan de Accion apoyo transversa'!BD121</f>
        <v>0</v>
      </c>
      <c r="R184" s="248" t="str">
        <f>+'Plan de Accion apoyo transversa'!CG121</f>
        <v>No Prog ni Ejec</v>
      </c>
      <c r="S184" s="212" t="s">
        <v>204</v>
      </c>
      <c r="T184" s="304">
        <f>+'Plan de Accion apoyo transversa'!BH121</f>
        <v>0</v>
      </c>
      <c r="U184" s="304">
        <f t="shared" si="177"/>
        <v>0</v>
      </c>
      <c r="V184" s="211" t="s">
        <v>204</v>
      </c>
      <c r="W184" s="213"/>
      <c r="X184" s="218">
        <f>+'Plan de Accion apoyo transversa'!BN121</f>
        <v>0</v>
      </c>
      <c r="Y184" s="248" t="str">
        <f>+'Plan de Accion apoyo transversa'!CI121</f>
        <v>No Prog ni Ejec</v>
      </c>
      <c r="Z184" s="212" t="s">
        <v>204</v>
      </c>
      <c r="AA184" s="217">
        <f>+'Plan de Accion apoyo transversa'!BR121</f>
        <v>0</v>
      </c>
      <c r="AB184" s="217">
        <f t="shared" si="178"/>
        <v>0</v>
      </c>
      <c r="AC184" s="216" t="s">
        <v>204</v>
      </c>
      <c r="AD184" s="213"/>
      <c r="AE184" s="219">
        <f>+'Plan de Accion apoyo transversa'!BX121</f>
        <v>2</v>
      </c>
      <c r="AF184" s="248">
        <f>+'Plan de Accion apoyo transversa'!CK121</f>
        <v>1</v>
      </c>
      <c r="AG184" s="212">
        <f t="shared" si="176"/>
        <v>1</v>
      </c>
      <c r="AH184" s="248">
        <f>+'Plan de Accion apoyo transversa'!CB121</f>
        <v>1</v>
      </c>
      <c r="AI184" s="211">
        <f t="shared" si="179"/>
        <v>1</v>
      </c>
      <c r="AJ184" s="230"/>
      <c r="AK184" s="1167"/>
      <c r="AL184" s="1488"/>
      <c r="AM184" s="1488"/>
      <c r="AN184" s="204"/>
      <c r="AO184" s="1501"/>
      <c r="AP184" s="1488"/>
      <c r="AQ184" s="204"/>
      <c r="AR184" s="1488"/>
      <c r="AS184" s="1488"/>
      <c r="AT184" s="204"/>
      <c r="AU184" s="1488"/>
      <c r="AV184" s="1488"/>
      <c r="AW184" s="202"/>
      <c r="AX184" s="229"/>
      <c r="AY184" s="235"/>
      <c r="AZ184" s="1488"/>
      <c r="BA184" s="1488"/>
      <c r="BB184" s="204"/>
      <c r="BC184" s="1501"/>
      <c r="BD184" s="1488"/>
      <c r="BE184" s="204"/>
      <c r="BF184" s="1488"/>
      <c r="BG184" s="1488"/>
      <c r="BH184" s="204"/>
      <c r="BI184" s="1488"/>
      <c r="BJ184" s="1488"/>
      <c r="BK184" s="202"/>
      <c r="BL184" s="229"/>
      <c r="BN184" s="1488"/>
      <c r="BO184" s="1488"/>
      <c r="BP184" s="204"/>
      <c r="BQ184" s="1501"/>
      <c r="BR184" s="1488"/>
      <c r="BS184" s="204"/>
      <c r="BT184" s="1488"/>
      <c r="BU184" s="1488"/>
      <c r="BV184" s="204"/>
      <c r="BW184" s="1488"/>
      <c r="BX184" s="1488"/>
      <c r="BY184" s="202"/>
      <c r="BZ184" s="229"/>
      <c r="CB184" s="1488"/>
      <c r="CC184" s="1488"/>
      <c r="CD184" s="204"/>
      <c r="CE184" s="1501"/>
      <c r="CF184" s="1488"/>
      <c r="CG184" s="204"/>
      <c r="CH184" s="1488"/>
      <c r="CI184" s="1488"/>
      <c r="CJ184" s="204"/>
      <c r="CK184" s="1488"/>
      <c r="CL184" s="1488"/>
      <c r="CM184" s="202"/>
      <c r="CN184" s="229"/>
    </row>
    <row r="185" spans="2:92" ht="121.5" customHeight="1" x14ac:dyDescent="0.25">
      <c r="B185" s="1589"/>
      <c r="C185" s="1471"/>
      <c r="D185" s="1437"/>
      <c r="E185" s="1443"/>
      <c r="F185" s="1444"/>
      <c r="G185" s="288" t="str">
        <f>+'Plan de Accion apoyo transversa'!X122</f>
        <v>Gestión de Servicio al ciudadano de la entidad  por los diferentes canales  de atención.</v>
      </c>
      <c r="H185" s="224" t="str">
        <f>+'Plan de Accion apoyo transversa'!AK122</f>
        <v># llamadas atendidas / # llamadas entrantes</v>
      </c>
      <c r="I185" s="236"/>
      <c r="J185" s="214">
        <f>+'Plan de Accion apoyo transversa'!AT122</f>
        <v>0.19645477937672737</v>
      </c>
      <c r="K185" s="476">
        <f>+'Plan de Accion apoyo transversa'!CE122</f>
        <v>0.98227389688363675</v>
      </c>
      <c r="L185" s="476">
        <f>IF(K185&gt;100%,100%,K185)</f>
        <v>0.98227389688363675</v>
      </c>
      <c r="M185" s="476">
        <f>+'Plan de Accion apoyo transversa'!AX122</f>
        <v>0.24556847422090919</v>
      </c>
      <c r="N185" s="476">
        <f t="shared" si="117"/>
        <v>0.24556847422090919</v>
      </c>
      <c r="O185" s="478">
        <f>+N185</f>
        <v>0.24556847422090919</v>
      </c>
      <c r="P185" s="213"/>
      <c r="Q185" s="214">
        <f>+'Plan de Accion apoyo transversa'!BD122</f>
        <v>0.19279279279279282</v>
      </c>
      <c r="R185" s="248">
        <f>+'Plan de Accion apoyo transversa'!CG122</f>
        <v>0.96396396396396411</v>
      </c>
      <c r="S185" s="212">
        <f>IF(R185&gt;100%,100%,R185)</f>
        <v>0.96396396396396411</v>
      </c>
      <c r="T185" s="304">
        <f>+'Plan de Accion apoyo transversa'!BH122</f>
        <v>0.48655946521190024</v>
      </c>
      <c r="U185" s="304">
        <f t="shared" si="177"/>
        <v>0.48655946521190024</v>
      </c>
      <c r="V185" s="211">
        <f>+U185</f>
        <v>0.48655946521190024</v>
      </c>
      <c r="W185" s="213"/>
      <c r="X185" s="214">
        <f>+'Plan de Accion apoyo transversa'!BN122</f>
        <v>0.18680832226648961</v>
      </c>
      <c r="Y185" s="248">
        <f>+'Plan de Accion apoyo transversa'!CI122</f>
        <v>0.93404161133244801</v>
      </c>
      <c r="Z185" s="212">
        <f>IF(Y185&gt;100%,100%,Y185)</f>
        <v>0.93404161133244801</v>
      </c>
      <c r="AA185" s="217">
        <f>+'Plan de Accion apoyo transversa'!BR122</f>
        <v>0.72006986804501216</v>
      </c>
      <c r="AB185" s="217">
        <f t="shared" si="178"/>
        <v>0.72006986804501216</v>
      </c>
      <c r="AC185" s="216">
        <f>+AB185</f>
        <v>0.72006986804501216</v>
      </c>
      <c r="AD185" s="213"/>
      <c r="AE185" s="214">
        <f>+'Plan de Accion apoyo transversa'!BX122</f>
        <v>0.19005189216554869</v>
      </c>
      <c r="AF185" s="248">
        <f>+'Plan de Accion apoyo transversa'!CK122</f>
        <v>0.95025946082774337</v>
      </c>
      <c r="AG185" s="212">
        <f t="shared" si="176"/>
        <v>0.95025946082774337</v>
      </c>
      <c r="AH185" s="248">
        <f>+'Plan de Accion apoyo transversa'!CB122</f>
        <v>0.95763473325194803</v>
      </c>
      <c r="AI185" s="211">
        <f t="shared" si="179"/>
        <v>0.95763473325194803</v>
      </c>
      <c r="AJ185" s="230"/>
      <c r="AK185" s="1167"/>
      <c r="AL185" s="1488"/>
      <c r="AM185" s="1488"/>
      <c r="AN185" s="204"/>
      <c r="AO185" s="1501"/>
      <c r="AP185" s="1488"/>
      <c r="AQ185" s="204"/>
      <c r="AR185" s="1488"/>
      <c r="AS185" s="1488"/>
      <c r="AT185" s="204"/>
      <c r="AU185" s="1488"/>
      <c r="AV185" s="1488"/>
      <c r="AW185" s="202"/>
      <c r="AX185" s="229"/>
      <c r="AY185" s="235"/>
      <c r="AZ185" s="1488"/>
      <c r="BA185" s="1488"/>
      <c r="BB185" s="204"/>
      <c r="BC185" s="1501"/>
      <c r="BD185" s="1488"/>
      <c r="BE185" s="204"/>
      <c r="BF185" s="1488"/>
      <c r="BG185" s="1488"/>
      <c r="BH185" s="204"/>
      <c r="BI185" s="1488"/>
      <c r="BJ185" s="1488"/>
      <c r="BK185" s="202"/>
      <c r="BL185" s="229"/>
      <c r="BN185" s="1488"/>
      <c r="BO185" s="1488"/>
      <c r="BP185" s="204"/>
      <c r="BQ185" s="1501"/>
      <c r="BR185" s="1488"/>
      <c r="BS185" s="204"/>
      <c r="BT185" s="1488"/>
      <c r="BU185" s="1488"/>
      <c r="BV185" s="204"/>
      <c r="BW185" s="1488"/>
      <c r="BX185" s="1488"/>
      <c r="BY185" s="202"/>
      <c r="BZ185" s="229"/>
      <c r="CB185" s="1488"/>
      <c r="CC185" s="1488"/>
      <c r="CD185" s="204"/>
      <c r="CE185" s="1501"/>
      <c r="CF185" s="1488"/>
      <c r="CG185" s="204"/>
      <c r="CH185" s="1488"/>
      <c r="CI185" s="1488"/>
      <c r="CJ185" s="204"/>
      <c r="CK185" s="1488"/>
      <c r="CL185" s="1488"/>
      <c r="CM185" s="202"/>
      <c r="CN185" s="229"/>
    </row>
    <row r="186" spans="2:92" ht="66.75" customHeight="1" x14ac:dyDescent="0.25">
      <c r="B186" s="1589"/>
      <c r="C186" s="1471"/>
      <c r="D186" s="1437"/>
      <c r="E186" s="1443"/>
      <c r="F186" s="888" t="s">
        <v>527</v>
      </c>
      <c r="G186" s="288" t="str">
        <f>+'Plan de Accion apoyo transversa'!X182</f>
        <v>Solicitudes de autorización para el tratamiento de datos personales</v>
      </c>
      <c r="H186" s="224" t="str">
        <f>+'Plan de Accion apoyo transversa'!AK182</f>
        <v># Solicitudes desarrolladas e implementadas/ #solicitudes definidas</v>
      </c>
      <c r="I186" s="236"/>
      <c r="J186" s="214">
        <f>+'Plan de Accion apoyo transversa'!AT182</f>
        <v>0</v>
      </c>
      <c r="K186" s="515" t="str">
        <f>+'Plan de Accion apoyo transversa'!CE182</f>
        <v>No Prog ni Ejec</v>
      </c>
      <c r="L186" s="515" t="s">
        <v>204</v>
      </c>
      <c r="M186" s="515">
        <f>+'Plan de Accion apoyo transversa'!AX182</f>
        <v>0</v>
      </c>
      <c r="N186" s="515">
        <f>IF(M186&gt;100%,100%,M186)</f>
        <v>0</v>
      </c>
      <c r="O186" s="516" t="s">
        <v>204</v>
      </c>
      <c r="P186" s="213"/>
      <c r="Q186" s="214">
        <f>+'Plan de Accion apoyo transversa'!BD182</f>
        <v>0</v>
      </c>
      <c r="R186" s="248" t="str">
        <f>+'Plan de Accion apoyo transversa'!CG182</f>
        <v>No Prog ni Ejec</v>
      </c>
      <c r="S186" s="212" t="s">
        <v>204</v>
      </c>
      <c r="T186" s="515">
        <f>+'Plan de Accion apoyo transversa'!BH182</f>
        <v>0</v>
      </c>
      <c r="U186" s="515">
        <f t="shared" si="177"/>
        <v>0</v>
      </c>
      <c r="V186" s="211" t="s">
        <v>204</v>
      </c>
      <c r="W186" s="213"/>
      <c r="X186" s="214">
        <f>+'Plan de Accion apoyo transversa'!BN182</f>
        <v>0</v>
      </c>
      <c r="Y186" s="248">
        <f>+'Plan de Accion apoyo transversa'!CI182</f>
        <v>0</v>
      </c>
      <c r="Z186" s="212">
        <f>IF(Y186&gt;100%,100%,Y186)</f>
        <v>0</v>
      </c>
      <c r="AA186" s="217">
        <f>+'Plan de Accion apoyo transversa'!BR182</f>
        <v>0</v>
      </c>
      <c r="AB186" s="217">
        <f t="shared" si="178"/>
        <v>0</v>
      </c>
      <c r="AC186" s="216">
        <f>+AB186</f>
        <v>0</v>
      </c>
      <c r="AD186" s="213"/>
      <c r="AE186" s="214">
        <f>+'Plan de Accion apoyo transversa'!BX182</f>
        <v>0</v>
      </c>
      <c r="AF186" s="248">
        <f>+'Plan de Accion apoyo transversa'!CK182</f>
        <v>0</v>
      </c>
      <c r="AG186" s="212">
        <f t="shared" si="176"/>
        <v>0</v>
      </c>
      <c r="AH186" s="248">
        <f>+'Plan de Accion apoyo transversa'!CB182</f>
        <v>0</v>
      </c>
      <c r="AI186" s="211">
        <f t="shared" si="179"/>
        <v>0</v>
      </c>
      <c r="AJ186" s="230"/>
      <c r="AK186" s="1167"/>
      <c r="AL186" s="1488"/>
      <c r="AM186" s="1488"/>
      <c r="AN186" s="204"/>
      <c r="AO186" s="1501"/>
      <c r="AP186" s="1488"/>
      <c r="AQ186" s="204"/>
      <c r="AR186" s="1488"/>
      <c r="AS186" s="1488"/>
      <c r="AT186" s="204"/>
      <c r="AU186" s="1488"/>
      <c r="AV186" s="1488"/>
      <c r="AW186" s="202"/>
      <c r="AX186" s="229"/>
      <c r="AY186" s="235"/>
      <c r="AZ186" s="1488"/>
      <c r="BA186" s="1488"/>
      <c r="BB186" s="204"/>
      <c r="BC186" s="1501"/>
      <c r="BD186" s="1488"/>
      <c r="BE186" s="204"/>
      <c r="BF186" s="1488"/>
      <c r="BG186" s="1488"/>
      <c r="BH186" s="204"/>
      <c r="BI186" s="1488"/>
      <c r="BJ186" s="1488"/>
      <c r="BK186" s="202"/>
      <c r="BL186" s="229"/>
      <c r="BN186" s="1488"/>
      <c r="BO186" s="1488"/>
      <c r="BP186" s="204"/>
      <c r="BQ186" s="1501"/>
      <c r="BR186" s="1488"/>
      <c r="BS186" s="204"/>
      <c r="BT186" s="1488"/>
      <c r="BU186" s="1488"/>
      <c r="BV186" s="204"/>
      <c r="BW186" s="1488"/>
      <c r="BX186" s="1488"/>
      <c r="BY186" s="202"/>
      <c r="BZ186" s="229"/>
      <c r="CB186" s="1488"/>
      <c r="CC186" s="1488"/>
      <c r="CD186" s="204"/>
      <c r="CE186" s="1501"/>
      <c r="CF186" s="1488"/>
      <c r="CG186" s="204"/>
      <c r="CH186" s="1488"/>
      <c r="CI186" s="1488"/>
      <c r="CJ186" s="204"/>
      <c r="CK186" s="1488"/>
      <c r="CL186" s="1488"/>
      <c r="CM186" s="202"/>
      <c r="CN186" s="229"/>
    </row>
    <row r="187" spans="2:92" ht="114" x14ac:dyDescent="0.25">
      <c r="B187" s="1589"/>
      <c r="C187" s="1471"/>
      <c r="D187" s="1437"/>
      <c r="E187" s="1443"/>
      <c r="F187" s="1442" t="s">
        <v>336</v>
      </c>
      <c r="G187" s="288" t="str">
        <f>+'Plan de Accion apoyo transversa'!X125</f>
        <v>Cooperación Interinstitucional con el Ministerio de Salud para la implementación del CENTRO ESPECIALIZADO DE SERVICIO AL CIUDADANO para las Entidades del Sector Salud</v>
      </c>
      <c r="H187" s="224" t="str">
        <f>+'Plan de Accion apoyo transversa'!AK125</f>
        <v># Mesas de trabajo en las que ADRES participó / # mesas de trabajo convocadas</v>
      </c>
      <c r="I187" s="236"/>
      <c r="J187" s="214">
        <f>+'Plan de Accion apoyo transversa'!AT125</f>
        <v>0.25</v>
      </c>
      <c r="K187" s="476">
        <f>+'Plan de Accion apoyo transversa'!CE125</f>
        <v>1</v>
      </c>
      <c r="L187" s="476">
        <f>IF(K187&gt;100%,100%,K187)</f>
        <v>1</v>
      </c>
      <c r="M187" s="476">
        <f>+'Plan de Accion apoyo transversa'!AX125</f>
        <v>0.25</v>
      </c>
      <c r="N187" s="476">
        <f t="shared" si="117"/>
        <v>0.25</v>
      </c>
      <c r="O187" s="478">
        <f>+N187</f>
        <v>0.25</v>
      </c>
      <c r="P187" s="213"/>
      <c r="Q187" s="214">
        <f>+'Plan de Accion apoyo transversa'!BD125</f>
        <v>0.25</v>
      </c>
      <c r="R187" s="248">
        <f>+'Plan de Accion apoyo transversa'!CG125</f>
        <v>1</v>
      </c>
      <c r="S187" s="212">
        <f>IF(R187&gt;100%,100%,R187)</f>
        <v>1</v>
      </c>
      <c r="T187" s="304">
        <f>+'Plan de Accion apoyo transversa'!BH125</f>
        <v>0.5</v>
      </c>
      <c r="U187" s="304">
        <f t="shared" si="177"/>
        <v>0.5</v>
      </c>
      <c r="V187" s="211">
        <f>+U187</f>
        <v>0.5</v>
      </c>
      <c r="W187" s="213"/>
      <c r="X187" s="214">
        <f>+'Plan de Accion apoyo transversa'!BN125</f>
        <v>0.25</v>
      </c>
      <c r="Y187" s="248">
        <f>+'Plan de Accion apoyo transversa'!CI125</f>
        <v>1</v>
      </c>
      <c r="Z187" s="212">
        <f>IF(Y187&gt;100%,100%,Y187)</f>
        <v>1</v>
      </c>
      <c r="AA187" s="217">
        <f>+'Plan de Accion apoyo transversa'!BR125</f>
        <v>0.75</v>
      </c>
      <c r="AB187" s="217">
        <f t="shared" si="178"/>
        <v>0.75</v>
      </c>
      <c r="AC187" s="216">
        <f>+AB187</f>
        <v>0.75</v>
      </c>
      <c r="AD187" s="213"/>
      <c r="AE187" s="214">
        <f>+'Plan de Accion apoyo transversa'!BX125</f>
        <v>0.25</v>
      </c>
      <c r="AF187" s="248">
        <f>+'Plan de Accion apoyo transversa'!CK125</f>
        <v>1</v>
      </c>
      <c r="AG187" s="212">
        <f t="shared" si="176"/>
        <v>1</v>
      </c>
      <c r="AH187" s="248">
        <f>+'Plan de Accion apoyo transversa'!CB125</f>
        <v>1</v>
      </c>
      <c r="AI187" s="211">
        <f t="shared" si="179"/>
        <v>1</v>
      </c>
      <c r="AJ187" s="230"/>
      <c r="AK187" s="1167"/>
      <c r="AL187" s="1488"/>
      <c r="AM187" s="1488"/>
      <c r="AN187" s="204"/>
      <c r="AO187" s="1501"/>
      <c r="AP187" s="1488"/>
      <c r="AQ187" s="204"/>
      <c r="AR187" s="1488"/>
      <c r="AS187" s="1488"/>
      <c r="AT187" s="204"/>
      <c r="AU187" s="1488"/>
      <c r="AV187" s="1488"/>
      <c r="AW187" s="202"/>
      <c r="AX187" s="229"/>
      <c r="AY187" s="235"/>
      <c r="AZ187" s="1488"/>
      <c r="BA187" s="1488"/>
      <c r="BB187" s="204"/>
      <c r="BC187" s="1501"/>
      <c r="BD187" s="1488"/>
      <c r="BE187" s="204"/>
      <c r="BF187" s="1488"/>
      <c r="BG187" s="1488"/>
      <c r="BH187" s="204"/>
      <c r="BI187" s="1488"/>
      <c r="BJ187" s="1488"/>
      <c r="BK187" s="202"/>
      <c r="BL187" s="229"/>
      <c r="BN187" s="1488"/>
      <c r="BO187" s="1488"/>
      <c r="BP187" s="204"/>
      <c r="BQ187" s="1501"/>
      <c r="BR187" s="1488"/>
      <c r="BS187" s="204"/>
      <c r="BT187" s="1488"/>
      <c r="BU187" s="1488"/>
      <c r="BV187" s="204"/>
      <c r="BW187" s="1488"/>
      <c r="BX187" s="1488"/>
      <c r="BY187" s="202"/>
      <c r="BZ187" s="229"/>
      <c r="CB187" s="1488"/>
      <c r="CC187" s="1488"/>
      <c r="CD187" s="204"/>
      <c r="CE187" s="1501"/>
      <c r="CF187" s="1488"/>
      <c r="CG187" s="204"/>
      <c r="CH187" s="1488"/>
      <c r="CI187" s="1488"/>
      <c r="CJ187" s="204"/>
      <c r="CK187" s="1488"/>
      <c r="CL187" s="1488"/>
      <c r="CM187" s="202"/>
      <c r="CN187" s="229"/>
    </row>
    <row r="188" spans="2:92" ht="90" customHeight="1" x14ac:dyDescent="0.25">
      <c r="B188" s="1589"/>
      <c r="C188" s="1471"/>
      <c r="D188" s="1437"/>
      <c r="E188" s="1443"/>
      <c r="F188" s="1443"/>
      <c r="G188" s="288" t="str">
        <f>+'Plan de Accion apoyo transversa'!X126</f>
        <v>Seguimiento a la calidad y lenguaje claro de las respuestas dadas por los funcionarios a las PQRSD radicadas en la Entidad y presentar recomendaciones a las áreas competentes.</v>
      </c>
      <c r="H188" s="224" t="str">
        <f>+'Plan de Accion apoyo transversa'!AK126</f>
        <v># Recomendaciones realizadas / # PQRSD evaluadas</v>
      </c>
      <c r="I188" s="236"/>
      <c r="J188" s="214">
        <f>+'Plan de Accion apoyo transversa'!AT126</f>
        <v>0.25</v>
      </c>
      <c r="K188" s="476">
        <f>+'Plan de Accion apoyo transversa'!CE126</f>
        <v>1</v>
      </c>
      <c r="L188" s="476">
        <f t="shared" ref="L188:L204" si="180">IF(K188&gt;100%,100%,K188)</f>
        <v>1</v>
      </c>
      <c r="M188" s="476">
        <f>+'Plan de Accion apoyo transversa'!AX126</f>
        <v>0.25</v>
      </c>
      <c r="N188" s="476">
        <f t="shared" si="117"/>
        <v>0.25</v>
      </c>
      <c r="O188" s="478">
        <f t="shared" ref="O188:O196" si="181">+N188</f>
        <v>0.25</v>
      </c>
      <c r="P188" s="213"/>
      <c r="Q188" s="214">
        <f>+'Plan de Accion apoyo transversa'!BD126</f>
        <v>0.25</v>
      </c>
      <c r="R188" s="248">
        <f>+'Plan de Accion apoyo transversa'!CG126</f>
        <v>1</v>
      </c>
      <c r="S188" s="212">
        <f t="shared" ref="S188:S201" si="182">IF(R188&gt;100%,100%,R188)</f>
        <v>1</v>
      </c>
      <c r="T188" s="304">
        <f>+'Plan de Accion apoyo transversa'!BH126</f>
        <v>0.5</v>
      </c>
      <c r="U188" s="304">
        <f t="shared" ref="U188:U205" si="183">IF(T188&gt;100%,100%,T188)</f>
        <v>0.5</v>
      </c>
      <c r="V188" s="211">
        <f t="shared" ref="V188:V204" si="184">+U188</f>
        <v>0.5</v>
      </c>
      <c r="W188" s="213"/>
      <c r="X188" s="214">
        <f>+'Plan de Accion apoyo transversa'!BN126</f>
        <v>0.25</v>
      </c>
      <c r="Y188" s="248">
        <f>+'Plan de Accion apoyo transversa'!CI126</f>
        <v>1</v>
      </c>
      <c r="Z188" s="212">
        <f t="shared" ref="Z188:Z193" si="185">IF(Y188&gt;100%,100%,Y188)</f>
        <v>1</v>
      </c>
      <c r="AA188" s="217">
        <f>+'Plan de Accion apoyo transversa'!BR126</f>
        <v>0.75</v>
      </c>
      <c r="AB188" s="217">
        <f t="shared" ref="AB188:AB205" si="186">IF(AA188&gt;100%,100%,AA188)</f>
        <v>0.75</v>
      </c>
      <c r="AC188" s="216">
        <f t="shared" ref="AC188:AC204" si="187">+AB188</f>
        <v>0.75</v>
      </c>
      <c r="AD188" s="213"/>
      <c r="AE188" s="214">
        <f>+'Plan de Accion apoyo transversa'!BX126</f>
        <v>0.25</v>
      </c>
      <c r="AF188" s="248">
        <f>+'Plan de Accion apoyo transversa'!CK126</f>
        <v>1</v>
      </c>
      <c r="AG188" s="212">
        <f t="shared" si="176"/>
        <v>1</v>
      </c>
      <c r="AH188" s="248">
        <f>+'Plan de Accion apoyo transversa'!CB126</f>
        <v>1</v>
      </c>
      <c r="AI188" s="211">
        <f t="shared" ref="AI188:AI204" si="188">IF(AH188&gt;100%,100%,AH188)</f>
        <v>1</v>
      </c>
      <c r="AJ188" s="230"/>
      <c r="AK188" s="1167"/>
      <c r="AL188" s="1488"/>
      <c r="AM188" s="1488"/>
      <c r="AN188" s="204"/>
      <c r="AO188" s="1501"/>
      <c r="AP188" s="1488"/>
      <c r="AQ188" s="204"/>
      <c r="AR188" s="1488"/>
      <c r="AS188" s="1488"/>
      <c r="AT188" s="204"/>
      <c r="AU188" s="1488"/>
      <c r="AV188" s="1488"/>
      <c r="AW188" s="202"/>
      <c r="AX188" s="229"/>
      <c r="AY188" s="235"/>
      <c r="AZ188" s="1488"/>
      <c r="BA188" s="1488"/>
      <c r="BB188" s="204"/>
      <c r="BC188" s="1501"/>
      <c r="BD188" s="1488"/>
      <c r="BE188" s="204"/>
      <c r="BF188" s="1488"/>
      <c r="BG188" s="1488"/>
      <c r="BH188" s="204"/>
      <c r="BI188" s="1488"/>
      <c r="BJ188" s="1488"/>
      <c r="BK188" s="202"/>
      <c r="BL188" s="229"/>
      <c r="BN188" s="1488"/>
      <c r="BO188" s="1488"/>
      <c r="BP188" s="204"/>
      <c r="BQ188" s="1501"/>
      <c r="BR188" s="1488"/>
      <c r="BS188" s="204"/>
      <c r="BT188" s="1488"/>
      <c r="BU188" s="1488"/>
      <c r="BV188" s="204"/>
      <c r="BW188" s="1488"/>
      <c r="BX188" s="1488"/>
      <c r="BY188" s="202"/>
      <c r="BZ188" s="229"/>
      <c r="CB188" s="1488"/>
      <c r="CC188" s="1488"/>
      <c r="CD188" s="204"/>
      <c r="CE188" s="1501"/>
      <c r="CF188" s="1488"/>
      <c r="CG188" s="204"/>
      <c r="CH188" s="1488"/>
      <c r="CI188" s="1488"/>
      <c r="CJ188" s="204"/>
      <c r="CK188" s="1488"/>
      <c r="CL188" s="1488"/>
      <c r="CM188" s="202"/>
      <c r="CN188" s="229"/>
    </row>
    <row r="189" spans="2:92" ht="112.5" customHeight="1" x14ac:dyDescent="0.25">
      <c r="B189" s="1589"/>
      <c r="C189" s="1471"/>
      <c r="D189" s="1437"/>
      <c r="E189" s="1443"/>
      <c r="F189" s="1443"/>
      <c r="G189" s="288"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9" s="224" t="str">
        <f>+'Plan de Accion apoyo transversa'!AK127</f>
        <v># Encuestas evaluadas como excelente / # encuestas realizadas</v>
      </c>
      <c r="I189" s="236"/>
      <c r="J189" s="214">
        <f>+'Plan de Accion apoyo transversa'!AT127</f>
        <v>0.22500000000000001</v>
      </c>
      <c r="K189" s="476">
        <f>+'Plan de Accion apoyo transversa'!CE127</f>
        <v>1</v>
      </c>
      <c r="L189" s="476">
        <f t="shared" si="180"/>
        <v>1</v>
      </c>
      <c r="M189" s="476">
        <f>+'Plan de Accion apoyo transversa'!AX127</f>
        <v>0.25</v>
      </c>
      <c r="N189" s="476">
        <f t="shared" si="117"/>
        <v>0.25</v>
      </c>
      <c r="O189" s="478">
        <f t="shared" si="181"/>
        <v>0.25</v>
      </c>
      <c r="P189" s="213"/>
      <c r="Q189" s="214">
        <f>+'Plan de Accion apoyo transversa'!BD127</f>
        <v>0.19522058823529412</v>
      </c>
      <c r="R189" s="248">
        <f>+'Plan de Accion apoyo transversa'!CG127</f>
        <v>0.86764705882352944</v>
      </c>
      <c r="S189" s="212">
        <f t="shared" si="182"/>
        <v>0.86764705882352944</v>
      </c>
      <c r="T189" s="304">
        <f>+'Plan de Accion apoyo transversa'!BH127</f>
        <v>0.46691176470588236</v>
      </c>
      <c r="U189" s="304">
        <f t="shared" si="183"/>
        <v>0.46691176470588236</v>
      </c>
      <c r="V189" s="211">
        <f t="shared" si="184"/>
        <v>0.46691176470588236</v>
      </c>
      <c r="W189" s="213"/>
      <c r="X189" s="214">
        <f>+'Plan de Accion apoyo transversa'!BN127</f>
        <v>9.7275054864667157E-2</v>
      </c>
      <c r="Y189" s="248">
        <f>+'Plan de Accion apoyo transversa'!CI127</f>
        <v>0.43233357717629844</v>
      </c>
      <c r="Z189" s="212">
        <f t="shared" si="185"/>
        <v>0.43233357717629844</v>
      </c>
      <c r="AA189" s="217">
        <f>+'Plan de Accion apoyo transversa'!BR127</f>
        <v>0.57499515899995701</v>
      </c>
      <c r="AB189" s="217">
        <f t="shared" si="186"/>
        <v>0.57499515899995701</v>
      </c>
      <c r="AC189" s="216">
        <f t="shared" si="187"/>
        <v>0.57499515899995701</v>
      </c>
      <c r="AD189" s="213"/>
      <c r="AE189" s="214">
        <f>+'Plan de Accion apoyo transversa'!BX127</f>
        <v>0.22500000000000001</v>
      </c>
      <c r="AF189" s="248">
        <f>+'Plan de Accion apoyo transversa'!CK127</f>
        <v>1</v>
      </c>
      <c r="AG189" s="212">
        <f t="shared" si="176"/>
        <v>1</v>
      </c>
      <c r="AH189" s="248">
        <f>+'Plan de Accion apoyo transversa'!CB127</f>
        <v>0.82499515899995701</v>
      </c>
      <c r="AI189" s="211">
        <f t="shared" si="188"/>
        <v>0.82499515899995701</v>
      </c>
      <c r="AJ189" s="230"/>
      <c r="AK189" s="1167"/>
      <c r="AL189" s="1488"/>
      <c r="AM189" s="1488"/>
      <c r="AN189" s="204"/>
      <c r="AO189" s="1501"/>
      <c r="AP189" s="1488"/>
      <c r="AQ189" s="204"/>
      <c r="AR189" s="1488"/>
      <c r="AS189" s="1488"/>
      <c r="AT189" s="204"/>
      <c r="AU189" s="1488"/>
      <c r="AV189" s="1488"/>
      <c r="AW189" s="202"/>
      <c r="AX189" s="229"/>
      <c r="AY189" s="235"/>
      <c r="AZ189" s="1488"/>
      <c r="BA189" s="1488"/>
      <c r="BB189" s="204"/>
      <c r="BC189" s="1501"/>
      <c r="BD189" s="1488"/>
      <c r="BE189" s="204"/>
      <c r="BF189" s="1488"/>
      <c r="BG189" s="1488"/>
      <c r="BH189" s="204"/>
      <c r="BI189" s="1488"/>
      <c r="BJ189" s="1488"/>
      <c r="BK189" s="202"/>
      <c r="BL189" s="229"/>
      <c r="BN189" s="1488"/>
      <c r="BO189" s="1488"/>
      <c r="BP189" s="204"/>
      <c r="BQ189" s="1501"/>
      <c r="BR189" s="1488"/>
      <c r="BS189" s="204"/>
      <c r="BT189" s="1488"/>
      <c r="BU189" s="1488"/>
      <c r="BV189" s="204"/>
      <c r="BW189" s="1488"/>
      <c r="BX189" s="1488"/>
      <c r="BY189" s="202"/>
      <c r="BZ189" s="229"/>
      <c r="CB189" s="1488"/>
      <c r="CC189" s="1488"/>
      <c r="CD189" s="204"/>
      <c r="CE189" s="1501"/>
      <c r="CF189" s="1488"/>
      <c r="CG189" s="204"/>
      <c r="CH189" s="1488"/>
      <c r="CI189" s="1488"/>
      <c r="CJ189" s="204"/>
      <c r="CK189" s="1488"/>
      <c r="CL189" s="1488"/>
      <c r="CM189" s="202"/>
      <c r="CN189" s="229"/>
    </row>
    <row r="190" spans="2:92" ht="93" customHeight="1" x14ac:dyDescent="0.25">
      <c r="B190" s="1589"/>
      <c r="C190" s="1471"/>
      <c r="D190" s="1437"/>
      <c r="E190" s="1443"/>
      <c r="F190" s="1443"/>
      <c r="G190" s="288" t="str">
        <f>+'Plan de Accion apoyo transversa'!X128</f>
        <v>Recomendaciones implementadas</v>
      </c>
      <c r="H190" s="224" t="str">
        <f>+'Plan de Accion apoyo transversa'!AK128</f>
        <v># Recomendaciones implementadas  / # recomendaciones aprobadas</v>
      </c>
      <c r="I190" s="236"/>
      <c r="J190" s="214">
        <f>+'Plan de Accion apoyo transversa'!AT128</f>
        <v>0</v>
      </c>
      <c r="K190" s="476" t="str">
        <f>+'Plan de Accion apoyo transversa'!CE128</f>
        <v>No Prog ni Ejec</v>
      </c>
      <c r="L190" s="476" t="s">
        <v>204</v>
      </c>
      <c r="M190" s="476">
        <f>+'Plan de Accion apoyo transversa'!AX128</f>
        <v>0</v>
      </c>
      <c r="N190" s="476">
        <f t="shared" si="117"/>
        <v>0</v>
      </c>
      <c r="O190" s="478" t="s">
        <v>204</v>
      </c>
      <c r="P190" s="213"/>
      <c r="Q190" s="214">
        <f>+'Plan de Accion apoyo transversa'!BD128</f>
        <v>0</v>
      </c>
      <c r="R190" s="248" t="str">
        <f>+'Plan de Accion apoyo transversa'!CG128</f>
        <v>No Prog ni Ejec</v>
      </c>
      <c r="S190" s="212" t="s">
        <v>204</v>
      </c>
      <c r="T190" s="304">
        <f>+'Plan de Accion apoyo transversa'!BH128</f>
        <v>0</v>
      </c>
      <c r="U190" s="304">
        <f t="shared" si="183"/>
        <v>0</v>
      </c>
      <c r="V190" s="211" t="s">
        <v>204</v>
      </c>
      <c r="W190" s="213"/>
      <c r="X190" s="214">
        <f>+'Plan de Accion apoyo transversa'!BN128</f>
        <v>0.2196969696969697</v>
      </c>
      <c r="Y190" s="248">
        <f>+'Plan de Accion apoyo transversa'!CI128</f>
        <v>0.43939393939393939</v>
      </c>
      <c r="Z190" s="212">
        <f t="shared" si="185"/>
        <v>0.43939393939393939</v>
      </c>
      <c r="AA190" s="217">
        <f>+'Plan de Accion apoyo transversa'!BR128</f>
        <v>0.2196969696969697</v>
      </c>
      <c r="AB190" s="217">
        <f t="shared" si="186"/>
        <v>0.2196969696969697</v>
      </c>
      <c r="AC190" s="216">
        <f t="shared" si="187"/>
        <v>0.2196969696969697</v>
      </c>
      <c r="AD190" s="213"/>
      <c r="AE190" s="214">
        <f>+'Plan de Accion apoyo transversa'!BX128</f>
        <v>0.5</v>
      </c>
      <c r="AF190" s="248">
        <f>+'Plan de Accion apoyo transversa'!CK128</f>
        <v>1</v>
      </c>
      <c r="AG190" s="212">
        <f t="shared" si="176"/>
        <v>1</v>
      </c>
      <c r="AH190" s="248">
        <f>+'Plan de Accion apoyo transversa'!CB128</f>
        <v>0.71969696969696972</v>
      </c>
      <c r="AI190" s="211">
        <f t="shared" si="188"/>
        <v>0.71969696969696972</v>
      </c>
      <c r="AJ190" s="230"/>
      <c r="AK190" s="1167"/>
      <c r="AL190" s="1488"/>
      <c r="AM190" s="1488"/>
      <c r="AN190" s="204"/>
      <c r="AO190" s="1501"/>
      <c r="AP190" s="1488"/>
      <c r="AQ190" s="204"/>
      <c r="AR190" s="1488"/>
      <c r="AS190" s="1488"/>
      <c r="AT190" s="204"/>
      <c r="AU190" s="1488"/>
      <c r="AV190" s="1488"/>
      <c r="AW190" s="202"/>
      <c r="AX190" s="229"/>
      <c r="AY190" s="235"/>
      <c r="AZ190" s="1488"/>
      <c r="BA190" s="1488"/>
      <c r="BB190" s="204"/>
      <c r="BC190" s="1501"/>
      <c r="BD190" s="1488"/>
      <c r="BE190" s="204"/>
      <c r="BF190" s="1488"/>
      <c r="BG190" s="1488"/>
      <c r="BH190" s="204"/>
      <c r="BI190" s="1488"/>
      <c r="BJ190" s="1488"/>
      <c r="BK190" s="202"/>
      <c r="BL190" s="229"/>
      <c r="BN190" s="1488"/>
      <c r="BO190" s="1488"/>
      <c r="BP190" s="204"/>
      <c r="BQ190" s="1501"/>
      <c r="BR190" s="1488"/>
      <c r="BS190" s="204"/>
      <c r="BT190" s="1488"/>
      <c r="BU190" s="1488"/>
      <c r="BV190" s="204"/>
      <c r="BW190" s="1488"/>
      <c r="BX190" s="1488"/>
      <c r="BY190" s="202"/>
      <c r="BZ190" s="229"/>
      <c r="CB190" s="1488"/>
      <c r="CC190" s="1488"/>
      <c r="CD190" s="204"/>
      <c r="CE190" s="1501"/>
      <c r="CF190" s="1488"/>
      <c r="CG190" s="204"/>
      <c r="CH190" s="1488"/>
      <c r="CI190" s="1488"/>
      <c r="CJ190" s="204"/>
      <c r="CK190" s="1488"/>
      <c r="CL190" s="1488"/>
      <c r="CM190" s="202"/>
      <c r="CN190" s="229"/>
    </row>
    <row r="191" spans="2:92" ht="78" customHeight="1" x14ac:dyDescent="0.25">
      <c r="B191" s="1589"/>
      <c r="C191" s="1471"/>
      <c r="D191" s="1437"/>
      <c r="E191" s="1443"/>
      <c r="F191" s="1443"/>
      <c r="G191" s="288" t="str">
        <f>+'Plan de Accion apoyo transversa'!X129</f>
        <v>Participación de la ADRES en ferias de Servicio al Ciudadano programadas por el DNP-PNSC  y promocionar los servicios y realizar trámites de la Entidad</v>
      </c>
      <c r="H191" s="224" t="str">
        <f>+'Plan de Accion apoyo transversa'!AK129</f>
        <v># Ferias de servicio al ciudadano en las que ADRES participó / # Ferias de servicio al ciudadano programadas por el DNP-PNSC de interés para la ADRES</v>
      </c>
      <c r="I191" s="236"/>
      <c r="J191" s="214">
        <f>+'Plan de Accion apoyo transversa'!AT129</f>
        <v>0</v>
      </c>
      <c r="K191" s="476" t="str">
        <f>+'Plan de Accion apoyo transversa'!CE129</f>
        <v>No Prog ni Ejec</v>
      </c>
      <c r="L191" s="476" t="s">
        <v>204</v>
      </c>
      <c r="M191" s="476">
        <f>+'Plan de Accion apoyo transversa'!AX129</f>
        <v>0</v>
      </c>
      <c r="N191" s="476">
        <f t="shared" si="117"/>
        <v>0</v>
      </c>
      <c r="O191" s="478" t="s">
        <v>204</v>
      </c>
      <c r="P191" s="213"/>
      <c r="Q191" s="214" t="e">
        <f>+'Plan de Accion apoyo transversa'!BD129</f>
        <v>#DIV/0!</v>
      </c>
      <c r="R191" s="248" t="e">
        <f>+'Plan de Accion apoyo transversa'!CG129</f>
        <v>#DIV/0!</v>
      </c>
      <c r="S191" s="212" t="s">
        <v>204</v>
      </c>
      <c r="T191" s="304" t="e">
        <f>+'Plan de Accion apoyo transversa'!BH129</f>
        <v>#DIV/0!</v>
      </c>
      <c r="U191" s="304" t="e">
        <f t="shared" si="183"/>
        <v>#DIV/0!</v>
      </c>
      <c r="V191" s="211" t="s">
        <v>204</v>
      </c>
      <c r="W191" s="213"/>
      <c r="X191" s="214" t="s">
        <v>204</v>
      </c>
      <c r="Y191" s="248" t="e">
        <f>+'Plan de Accion apoyo transversa'!CI129</f>
        <v>#DIV/0!</v>
      </c>
      <c r="Z191" s="212" t="s">
        <v>204</v>
      </c>
      <c r="AA191" s="217" t="e">
        <f>+'Plan de Accion apoyo transversa'!BR129</f>
        <v>#DIV/0!</v>
      </c>
      <c r="AB191" s="217" t="e">
        <f t="shared" ref="AB191" si="189">IF(AA191&gt;100%,100%,AA191)</f>
        <v>#DIV/0!</v>
      </c>
      <c r="AC191" s="216" t="s">
        <v>204</v>
      </c>
      <c r="AD191" s="213"/>
      <c r="AE191" s="214">
        <f>+'Plan de Accion apoyo transversa'!BX129</f>
        <v>0.33</v>
      </c>
      <c r="AF191" s="248">
        <f>+'Plan de Accion apoyo transversa'!CK129</f>
        <v>1</v>
      </c>
      <c r="AG191" s="212">
        <f t="shared" ref="AG191" si="190">IF(AF191&gt;100%,100%,AF191)</f>
        <v>1</v>
      </c>
      <c r="AH191" s="248">
        <f>+'Plan de Accion apoyo transversa'!CB129</f>
        <v>0.33</v>
      </c>
      <c r="AI191" s="211">
        <f t="shared" ref="AI191" si="191">IF(AH191&gt;100%,100%,AH191)</f>
        <v>0.33</v>
      </c>
      <c r="AJ191" s="230"/>
      <c r="AK191" s="1167"/>
      <c r="AL191" s="1488"/>
      <c r="AM191" s="1488"/>
      <c r="AN191" s="204"/>
      <c r="AO191" s="1501"/>
      <c r="AP191" s="1488"/>
      <c r="AQ191" s="204"/>
      <c r="AR191" s="1488"/>
      <c r="AS191" s="1488"/>
      <c r="AT191" s="204"/>
      <c r="AU191" s="1488"/>
      <c r="AV191" s="1488"/>
      <c r="AW191" s="202"/>
      <c r="AX191" s="229"/>
      <c r="AY191" s="235"/>
      <c r="AZ191" s="1488"/>
      <c r="BA191" s="1488"/>
      <c r="BB191" s="204"/>
      <c r="BC191" s="1501"/>
      <c r="BD191" s="1488"/>
      <c r="BE191" s="204"/>
      <c r="BF191" s="1488"/>
      <c r="BG191" s="1488"/>
      <c r="BH191" s="204"/>
      <c r="BI191" s="1488"/>
      <c r="BJ191" s="1488"/>
      <c r="BK191" s="202"/>
      <c r="BL191" s="229"/>
      <c r="BN191" s="1488"/>
      <c r="BO191" s="1488"/>
      <c r="BP191" s="204"/>
      <c r="BQ191" s="1501"/>
      <c r="BR191" s="1488"/>
      <c r="BS191" s="204"/>
      <c r="BT191" s="1488"/>
      <c r="BU191" s="1488"/>
      <c r="BV191" s="204"/>
      <c r="BW191" s="1488"/>
      <c r="BX191" s="1488"/>
      <c r="BY191" s="202"/>
      <c r="BZ191" s="229"/>
      <c r="CB191" s="1488"/>
      <c r="CC191" s="1488"/>
      <c r="CD191" s="204"/>
      <c r="CE191" s="1501"/>
      <c r="CF191" s="1488"/>
      <c r="CG191" s="204"/>
      <c r="CH191" s="1488"/>
      <c r="CI191" s="1488"/>
      <c r="CJ191" s="204"/>
      <c r="CK191" s="1488"/>
      <c r="CL191" s="1488"/>
      <c r="CM191" s="202"/>
      <c r="CN191" s="229"/>
    </row>
    <row r="192" spans="2:92" ht="188.25" customHeight="1" x14ac:dyDescent="0.25">
      <c r="B192" s="1589"/>
      <c r="C192" s="1471"/>
      <c r="D192" s="1437"/>
      <c r="E192" s="1443"/>
      <c r="F192" s="1443"/>
      <c r="G192" s="288" t="str">
        <f>+'Plan de Accion apoyo transversa'!X130</f>
        <v xml:space="preserve">Informe semestral de acceso a información pública PQRS como lo establece la Ley 1474 de 2011. </v>
      </c>
      <c r="H192" s="224" t="str">
        <f>+'Plan de Accion apoyo transversa'!AK130</f>
        <v># Informes semestrales de acceso a información pública PQRS elaborados</v>
      </c>
      <c r="I192" s="236"/>
      <c r="J192" s="218">
        <f>+'Plan de Accion apoyo transversa'!AT130</f>
        <v>1</v>
      </c>
      <c r="K192" s="476">
        <f>+'Plan de Accion apoyo transversa'!CE130</f>
        <v>1</v>
      </c>
      <c r="L192" s="476">
        <f t="shared" si="180"/>
        <v>1</v>
      </c>
      <c r="M192" s="476">
        <f>+'Plan de Accion apoyo transversa'!AX130</f>
        <v>0.5</v>
      </c>
      <c r="N192" s="476">
        <f t="shared" si="117"/>
        <v>0.5</v>
      </c>
      <c r="O192" s="478">
        <f t="shared" si="181"/>
        <v>0.5</v>
      </c>
      <c r="P192" s="213"/>
      <c r="Q192" s="218">
        <f>+'Plan de Accion apoyo transversa'!BD130</f>
        <v>0</v>
      </c>
      <c r="R192" s="248" t="str">
        <f>+'Plan de Accion apoyo transversa'!CG130</f>
        <v>No Prog ni Ejec</v>
      </c>
      <c r="S192" s="212" t="s">
        <v>204</v>
      </c>
      <c r="T192" s="304">
        <f>+'Plan de Accion apoyo transversa'!BH130</f>
        <v>0.5</v>
      </c>
      <c r="U192" s="304">
        <f t="shared" si="183"/>
        <v>0.5</v>
      </c>
      <c r="V192" s="211">
        <f t="shared" si="184"/>
        <v>0.5</v>
      </c>
      <c r="W192" s="213"/>
      <c r="X192" s="218">
        <f>+'Plan de Accion apoyo transversa'!BN130</f>
        <v>1</v>
      </c>
      <c r="Y192" s="248">
        <f>+'Plan de Accion apoyo transversa'!CI130</f>
        <v>1</v>
      </c>
      <c r="Z192" s="212">
        <f t="shared" si="185"/>
        <v>1</v>
      </c>
      <c r="AA192" s="217">
        <f>+'Plan de Accion apoyo transversa'!BR130</f>
        <v>1</v>
      </c>
      <c r="AB192" s="217">
        <f t="shared" si="186"/>
        <v>1</v>
      </c>
      <c r="AC192" s="216">
        <f t="shared" si="187"/>
        <v>1</v>
      </c>
      <c r="AD192" s="213"/>
      <c r="AE192" s="219">
        <f>+'Plan de Accion apoyo transversa'!BX130</f>
        <v>0</v>
      </c>
      <c r="AF192" s="248" t="str">
        <f>+'Plan de Accion apoyo transversa'!CK130</f>
        <v>No Prog ni Ejec</v>
      </c>
      <c r="AG192" s="212" t="s">
        <v>204</v>
      </c>
      <c r="AH192" s="248">
        <f>+'Plan de Accion apoyo transversa'!CB130</f>
        <v>1</v>
      </c>
      <c r="AI192" s="211">
        <f t="shared" si="188"/>
        <v>1</v>
      </c>
      <c r="AJ192" s="230"/>
      <c r="AK192" s="1167"/>
      <c r="AL192" s="1488"/>
      <c r="AM192" s="1488"/>
      <c r="AN192" s="204"/>
      <c r="AO192" s="1501"/>
      <c r="AP192" s="1488"/>
      <c r="AQ192" s="204"/>
      <c r="AR192" s="1488"/>
      <c r="AS192" s="1488"/>
      <c r="AT192" s="204"/>
      <c r="AU192" s="1488"/>
      <c r="AV192" s="1488"/>
      <c r="AW192" s="202"/>
      <c r="AX192" s="229"/>
      <c r="AY192" s="235"/>
      <c r="AZ192" s="1488"/>
      <c r="BA192" s="1488"/>
      <c r="BB192" s="204"/>
      <c r="BC192" s="1501"/>
      <c r="BD192" s="1488"/>
      <c r="BE192" s="204"/>
      <c r="BF192" s="1488"/>
      <c r="BG192" s="1488"/>
      <c r="BH192" s="204"/>
      <c r="BI192" s="1488"/>
      <c r="BJ192" s="1488"/>
      <c r="BK192" s="202"/>
      <c r="BL192" s="229"/>
      <c r="BN192" s="1488"/>
      <c r="BO192" s="1488"/>
      <c r="BP192" s="204"/>
      <c r="BQ192" s="1501"/>
      <c r="BR192" s="1488"/>
      <c r="BS192" s="204"/>
      <c r="BT192" s="1488"/>
      <c r="BU192" s="1488"/>
      <c r="BV192" s="204"/>
      <c r="BW192" s="1488"/>
      <c r="BX192" s="1488"/>
      <c r="BY192" s="202"/>
      <c r="BZ192" s="229"/>
      <c r="CB192" s="1488"/>
      <c r="CC192" s="1488"/>
      <c r="CD192" s="204"/>
      <c r="CE192" s="1501"/>
      <c r="CF192" s="1488"/>
      <c r="CG192" s="204"/>
      <c r="CH192" s="1488"/>
      <c r="CI192" s="1488"/>
      <c r="CJ192" s="204"/>
      <c r="CK192" s="1488"/>
      <c r="CL192" s="1488"/>
      <c r="CM192" s="202"/>
      <c r="CN192" s="229"/>
    </row>
    <row r="193" spans="2:92" ht="52.5" customHeight="1" x14ac:dyDescent="0.25">
      <c r="B193" s="1589"/>
      <c r="C193" s="1471"/>
      <c r="D193" s="1437"/>
      <c r="E193" s="1443"/>
      <c r="F193" s="1443"/>
      <c r="G193" s="288" t="str">
        <f>+'Plan de Accion apoyo transversa'!X131</f>
        <v>Consolidar la información de la atención de Quejas, Peticiones, Reclamos y Sugerencias y elaborar informes trimestrales.</v>
      </c>
      <c r="H193" s="224" t="str">
        <f>+'Plan de Accion apoyo transversa'!AK131</f>
        <v># Informes trimestrales elaborados y socializado</v>
      </c>
      <c r="I193" s="236"/>
      <c r="J193" s="218">
        <f>+'Plan de Accion apoyo transversa'!AT131</f>
        <v>1</v>
      </c>
      <c r="K193" s="476">
        <f>+'Plan de Accion apoyo transversa'!CE131</f>
        <v>1</v>
      </c>
      <c r="L193" s="476">
        <f t="shared" si="180"/>
        <v>1</v>
      </c>
      <c r="M193" s="476">
        <f>+'Plan de Accion apoyo transversa'!AX131</f>
        <v>0.25</v>
      </c>
      <c r="N193" s="476">
        <f t="shared" si="117"/>
        <v>0.25</v>
      </c>
      <c r="O193" s="478">
        <f t="shared" si="181"/>
        <v>0.25</v>
      </c>
      <c r="P193" s="213"/>
      <c r="Q193" s="218">
        <f>+'Plan de Accion apoyo transversa'!BD131</f>
        <v>1</v>
      </c>
      <c r="R193" s="248">
        <f>+'Plan de Accion apoyo transversa'!CG131</f>
        <v>1</v>
      </c>
      <c r="S193" s="212">
        <f t="shared" si="182"/>
        <v>1</v>
      </c>
      <c r="T193" s="304">
        <f>+'Plan de Accion apoyo transversa'!BH131</f>
        <v>0.5</v>
      </c>
      <c r="U193" s="304">
        <f t="shared" si="183"/>
        <v>0.5</v>
      </c>
      <c r="V193" s="211">
        <f t="shared" si="184"/>
        <v>0.5</v>
      </c>
      <c r="W193" s="213"/>
      <c r="X193" s="218">
        <f>+'Plan de Accion apoyo transversa'!BN131</f>
        <v>1</v>
      </c>
      <c r="Y193" s="248">
        <f>+'Plan de Accion apoyo transversa'!CI131</f>
        <v>1</v>
      </c>
      <c r="Z193" s="212">
        <f t="shared" si="185"/>
        <v>1</v>
      </c>
      <c r="AA193" s="217">
        <f>+'Plan de Accion apoyo transversa'!BR131</f>
        <v>0.75</v>
      </c>
      <c r="AB193" s="217">
        <f t="shared" si="186"/>
        <v>0.75</v>
      </c>
      <c r="AC193" s="216">
        <f>+AB193</f>
        <v>0.75</v>
      </c>
      <c r="AD193" s="213"/>
      <c r="AE193" s="219">
        <f>+'Plan de Accion apoyo transversa'!BX131</f>
        <v>1</v>
      </c>
      <c r="AF193" s="248">
        <f>+'Plan de Accion apoyo transversa'!CK131</f>
        <v>1</v>
      </c>
      <c r="AG193" s="212">
        <f t="shared" si="176"/>
        <v>1</v>
      </c>
      <c r="AH193" s="248">
        <f>+'Plan de Accion apoyo transversa'!CB131</f>
        <v>1</v>
      </c>
      <c r="AI193" s="211">
        <f t="shared" si="188"/>
        <v>1</v>
      </c>
      <c r="AJ193" s="230"/>
      <c r="AK193" s="1167"/>
      <c r="AL193" s="1488"/>
      <c r="AM193" s="1488"/>
      <c r="AN193" s="204"/>
      <c r="AO193" s="1501"/>
      <c r="AP193" s="1488"/>
      <c r="AQ193" s="204"/>
      <c r="AR193" s="1488"/>
      <c r="AS193" s="1488"/>
      <c r="AT193" s="204"/>
      <c r="AU193" s="1488"/>
      <c r="AV193" s="1488"/>
      <c r="AW193" s="202"/>
      <c r="AX193" s="229"/>
      <c r="AY193" s="235"/>
      <c r="AZ193" s="1488"/>
      <c r="BA193" s="1488"/>
      <c r="BB193" s="204"/>
      <c r="BC193" s="1501"/>
      <c r="BD193" s="1488"/>
      <c r="BE193" s="204"/>
      <c r="BF193" s="1488"/>
      <c r="BG193" s="1488"/>
      <c r="BH193" s="204"/>
      <c r="BI193" s="1488"/>
      <c r="BJ193" s="1488"/>
      <c r="BK193" s="202"/>
      <c r="BL193" s="229"/>
      <c r="BN193" s="1488"/>
      <c r="BO193" s="1488"/>
      <c r="BP193" s="204"/>
      <c r="BQ193" s="1501"/>
      <c r="BR193" s="1488"/>
      <c r="BS193" s="204"/>
      <c r="BT193" s="1488"/>
      <c r="BU193" s="1488"/>
      <c r="BV193" s="204"/>
      <c r="BW193" s="1488"/>
      <c r="BX193" s="1488"/>
      <c r="BY193" s="202"/>
      <c r="BZ193" s="229"/>
      <c r="CB193" s="1488"/>
      <c r="CC193" s="1488"/>
      <c r="CD193" s="204"/>
      <c r="CE193" s="1501"/>
      <c r="CF193" s="1488"/>
      <c r="CG193" s="204"/>
      <c r="CH193" s="1488"/>
      <c r="CI193" s="1488"/>
      <c r="CJ193" s="204"/>
      <c r="CK193" s="1488"/>
      <c r="CL193" s="1488"/>
      <c r="CM193" s="202"/>
      <c r="CN193" s="229"/>
    </row>
    <row r="194" spans="2:92" ht="84" customHeight="1" x14ac:dyDescent="0.25">
      <c r="B194" s="1589"/>
      <c r="C194" s="1471"/>
      <c r="D194" s="1437"/>
      <c r="E194" s="1444"/>
      <c r="F194" s="1444"/>
      <c r="G194" s="288" t="str">
        <f>+'Plan de Accion apoyo transversa'!X132</f>
        <v>Resoluciones de Apertura</v>
      </c>
      <c r="H194" s="224" t="str">
        <f>+'Plan de Accion apoyo transversa'!AK132</f>
        <v># Actos administrativos  / # procesos licitatorios previstos para la vigencia 2019</v>
      </c>
      <c r="I194" s="236"/>
      <c r="J194" s="214">
        <f>+'Plan de Accion apoyo transversa'!AT132</f>
        <v>0</v>
      </c>
      <c r="K194" s="476" t="str">
        <f>+'Plan de Accion apoyo transversa'!CE132</f>
        <v>No Prog ni Ejec</v>
      </c>
      <c r="L194" s="476" t="s">
        <v>204</v>
      </c>
      <c r="M194" s="476">
        <f>+'Plan de Accion apoyo transversa'!AX132</f>
        <v>0</v>
      </c>
      <c r="N194" s="476">
        <f t="shared" si="117"/>
        <v>0</v>
      </c>
      <c r="O194" s="478" t="s">
        <v>204</v>
      </c>
      <c r="P194" s="213"/>
      <c r="Q194" s="214">
        <f>+'Plan de Accion apoyo transversa'!BD132</f>
        <v>0</v>
      </c>
      <c r="R194" s="248" t="str">
        <f>+'Plan de Accion apoyo transversa'!CG132</f>
        <v>No Prog ni Ejec</v>
      </c>
      <c r="S194" s="212" t="s">
        <v>204</v>
      </c>
      <c r="T194" s="304">
        <f>+'Plan de Accion apoyo transversa'!BH132</f>
        <v>0</v>
      </c>
      <c r="U194" s="304">
        <f t="shared" si="183"/>
        <v>0</v>
      </c>
      <c r="V194" s="211" t="s">
        <v>204</v>
      </c>
      <c r="W194" s="213"/>
      <c r="X194" s="214">
        <f>+'Plan de Accion apoyo transversa'!BN132</f>
        <v>0</v>
      </c>
      <c r="Y194" s="248" t="str">
        <f>+'Plan de Accion apoyo transversa'!CI132</f>
        <v>No Prog ni Ejec</v>
      </c>
      <c r="Z194" s="212" t="s">
        <v>204</v>
      </c>
      <c r="AA194" s="217">
        <f>+'Plan de Accion apoyo transversa'!BR132</f>
        <v>0</v>
      </c>
      <c r="AB194" s="217">
        <f t="shared" si="186"/>
        <v>0</v>
      </c>
      <c r="AC194" s="216" t="s">
        <v>204</v>
      </c>
      <c r="AD194" s="213"/>
      <c r="AE194" s="214">
        <f>+'Plan de Accion apoyo transversa'!BX132</f>
        <v>1</v>
      </c>
      <c r="AF194" s="248">
        <f>+'Plan de Accion apoyo transversa'!CK132</f>
        <v>1</v>
      </c>
      <c r="AG194" s="212">
        <f t="shared" si="176"/>
        <v>1</v>
      </c>
      <c r="AH194" s="248">
        <f>+'Plan de Accion apoyo transversa'!CB132</f>
        <v>1</v>
      </c>
      <c r="AI194" s="211">
        <f t="shared" si="188"/>
        <v>1</v>
      </c>
      <c r="AJ194" s="230"/>
      <c r="AK194" s="1167"/>
      <c r="AL194" s="1488"/>
      <c r="AM194" s="1488"/>
      <c r="AN194" s="204"/>
      <c r="AO194" s="1501"/>
      <c r="AP194" s="1488"/>
      <c r="AQ194" s="204"/>
      <c r="AR194" s="1488"/>
      <c r="AS194" s="1488"/>
      <c r="AT194" s="204"/>
      <c r="AU194" s="1488"/>
      <c r="AV194" s="1488"/>
      <c r="AW194" s="202"/>
      <c r="AX194" s="229"/>
      <c r="AY194" s="235"/>
      <c r="AZ194" s="1488"/>
      <c r="BA194" s="1488"/>
      <c r="BB194" s="204"/>
      <c r="BC194" s="1501"/>
      <c r="BD194" s="1488"/>
      <c r="BE194" s="204"/>
      <c r="BF194" s="1488"/>
      <c r="BG194" s="1488"/>
      <c r="BH194" s="204"/>
      <c r="BI194" s="1488"/>
      <c r="BJ194" s="1488"/>
      <c r="BK194" s="202"/>
      <c r="BL194" s="229"/>
      <c r="BN194" s="1488"/>
      <c r="BO194" s="1488"/>
      <c r="BP194" s="204"/>
      <c r="BQ194" s="1501"/>
      <c r="BR194" s="1488"/>
      <c r="BS194" s="204"/>
      <c r="BT194" s="1488"/>
      <c r="BU194" s="1488"/>
      <c r="BV194" s="204"/>
      <c r="BW194" s="1488"/>
      <c r="BX194" s="1488"/>
      <c r="BY194" s="202"/>
      <c r="BZ194" s="229"/>
      <c r="CB194" s="1488"/>
      <c r="CC194" s="1488"/>
      <c r="CD194" s="204"/>
      <c r="CE194" s="1501"/>
      <c r="CF194" s="1488"/>
      <c r="CG194" s="204"/>
      <c r="CH194" s="1488"/>
      <c r="CI194" s="1488"/>
      <c r="CJ194" s="204"/>
      <c r="CK194" s="1488"/>
      <c r="CL194" s="1488"/>
      <c r="CM194" s="202"/>
      <c r="CN194" s="229"/>
    </row>
    <row r="195" spans="2:92" ht="84" customHeight="1" x14ac:dyDescent="0.25">
      <c r="B195" s="1589"/>
      <c r="C195" s="1471"/>
      <c r="D195" s="1438"/>
      <c r="E195" s="789" t="s">
        <v>230</v>
      </c>
      <c r="F195" s="577" t="s">
        <v>527</v>
      </c>
      <c r="G195" s="288" t="str">
        <f>+'Plan de Accion apoyo transversa'!X181</f>
        <v>Registro de las bases de datos con datos personales ante la Superintendencia de Industria y Comercio - SIC</v>
      </c>
      <c r="H195" s="224" t="str">
        <f>+'Plan de Accion apoyo transversa'!AK181</f>
        <v># Registros realizados ante la SIC</v>
      </c>
      <c r="I195" s="236"/>
      <c r="J195" s="214">
        <f>+'Plan de Accion apoyo transversa'!AT181</f>
        <v>1</v>
      </c>
      <c r="K195" s="515">
        <f>+'Plan de Accion apoyo transversa'!CE181</f>
        <v>1</v>
      </c>
      <c r="L195" s="515">
        <f>IF(K195&gt;100%,100%,K195)</f>
        <v>1</v>
      </c>
      <c r="M195" s="515">
        <f>+'Plan de Accion apoyo transversa'!AX181</f>
        <v>1</v>
      </c>
      <c r="N195" s="515">
        <f>IF(M195&gt;100%,100%,M195)</f>
        <v>1</v>
      </c>
      <c r="O195" s="516">
        <f>+N195</f>
        <v>1</v>
      </c>
      <c r="P195" s="213"/>
      <c r="Q195" s="214">
        <f>+'Plan de Accion apoyo transversa'!BD181</f>
        <v>0</v>
      </c>
      <c r="R195" s="248" t="str">
        <f>+'Plan de Accion apoyo transversa'!CG181</f>
        <v>No Prog ni Ejec</v>
      </c>
      <c r="S195" s="212" t="s">
        <v>204</v>
      </c>
      <c r="T195" s="515">
        <f>+'Plan de Accion apoyo transversa'!BH181</f>
        <v>1</v>
      </c>
      <c r="U195" s="515">
        <f>IF(T195&gt;100%,100%,T195)</f>
        <v>1</v>
      </c>
      <c r="V195" s="211">
        <f>+U195</f>
        <v>1</v>
      </c>
      <c r="W195" s="213"/>
      <c r="X195" s="214">
        <f>+'Plan de Accion apoyo transversa'!BN181</f>
        <v>0</v>
      </c>
      <c r="Y195" s="248" t="str">
        <f>+'Plan de Accion apoyo transversa'!CI181</f>
        <v>No Prog ni Ejec</v>
      </c>
      <c r="Z195" s="212" t="s">
        <v>204</v>
      </c>
      <c r="AA195" s="217">
        <f>+'Plan de Accion apoyo transversa'!BR181</f>
        <v>1</v>
      </c>
      <c r="AB195" s="217">
        <f>IF(AA195&gt;100%,100%,AA195)</f>
        <v>1</v>
      </c>
      <c r="AC195" s="216">
        <f>+AB195</f>
        <v>1</v>
      </c>
      <c r="AD195" s="213"/>
      <c r="AE195" s="214">
        <f>+'Plan de Accion apoyo transversa'!BX181</f>
        <v>0</v>
      </c>
      <c r="AF195" s="248" t="str">
        <f>+'Plan de Accion apoyo transversa'!CK181</f>
        <v>No Prog ni Ejec</v>
      </c>
      <c r="AG195" s="212" t="s">
        <v>204</v>
      </c>
      <c r="AH195" s="248">
        <f>+'Plan de Accion apoyo transversa'!CB181</f>
        <v>1</v>
      </c>
      <c r="AI195" s="211">
        <f>IF(AH195&gt;100%,100%,AH195)</f>
        <v>1</v>
      </c>
      <c r="AJ195" s="230"/>
      <c r="AK195" s="1167"/>
      <c r="AL195" s="1488"/>
      <c r="AM195" s="1488"/>
      <c r="AN195" s="204"/>
      <c r="AO195" s="1501"/>
      <c r="AP195" s="1488"/>
      <c r="AQ195" s="204"/>
      <c r="AR195" s="1488"/>
      <c r="AS195" s="1488"/>
      <c r="AT195" s="204"/>
      <c r="AU195" s="1488"/>
      <c r="AV195" s="1488"/>
      <c r="AW195" s="202"/>
      <c r="AX195" s="229"/>
      <c r="AY195" s="235"/>
      <c r="AZ195" s="1488"/>
      <c r="BA195" s="1488"/>
      <c r="BB195" s="204"/>
      <c r="BC195" s="1501"/>
      <c r="BD195" s="1488"/>
      <c r="BE195" s="204"/>
      <c r="BF195" s="1488"/>
      <c r="BG195" s="1488"/>
      <c r="BH195" s="204"/>
      <c r="BI195" s="1488"/>
      <c r="BJ195" s="1488"/>
      <c r="BK195" s="202"/>
      <c r="BL195" s="229"/>
      <c r="BN195" s="1488"/>
      <c r="BO195" s="1488"/>
      <c r="BP195" s="204"/>
      <c r="BQ195" s="1501"/>
      <c r="BR195" s="1488"/>
      <c r="BS195" s="204"/>
      <c r="BT195" s="1488"/>
      <c r="BU195" s="1488"/>
      <c r="BV195" s="204"/>
      <c r="BW195" s="1488"/>
      <c r="BX195" s="1488"/>
      <c r="BY195" s="202"/>
      <c r="BZ195" s="229"/>
      <c r="CB195" s="1488"/>
      <c r="CC195" s="1488"/>
      <c r="CD195" s="204"/>
      <c r="CE195" s="1501"/>
      <c r="CF195" s="1488"/>
      <c r="CG195" s="204"/>
      <c r="CH195" s="1488"/>
      <c r="CI195" s="1488"/>
      <c r="CJ195" s="204"/>
      <c r="CK195" s="1488"/>
      <c r="CL195" s="1488"/>
      <c r="CM195" s="202"/>
      <c r="CN195" s="229"/>
    </row>
    <row r="196" spans="2:92" ht="97.5" customHeight="1" x14ac:dyDescent="0.25">
      <c r="B196" s="1589"/>
      <c r="C196" s="1471"/>
      <c r="D196" s="1442" t="s">
        <v>204</v>
      </c>
      <c r="E196" s="1439" t="s">
        <v>230</v>
      </c>
      <c r="F196" s="335" t="s">
        <v>330</v>
      </c>
      <c r="G196" s="288" t="str">
        <f>+'Plan de Accion apoyo transversa'!X134</f>
        <v xml:space="preserve">Servicios de Mesa de Ayuda </v>
      </c>
      <c r="H196" s="224" t="str">
        <f>+'Plan de Accion apoyo transversa'!AK134</f>
        <v># Casos de primer nivel atendidos en términos de ANS para el trimestre/ # Casos de primer nivel recibidos con vencimiento de ANS durante el trimestre.</v>
      </c>
      <c r="I196" s="236"/>
      <c r="J196" s="214">
        <f>+'Plan de Accion apoyo transversa'!AT134</f>
        <v>0.22500000000000001</v>
      </c>
      <c r="K196" s="476">
        <f>+'Plan de Accion apoyo transversa'!CE134</f>
        <v>1</v>
      </c>
      <c r="L196" s="476">
        <f t="shared" si="180"/>
        <v>1</v>
      </c>
      <c r="M196" s="476">
        <f>+'Plan de Accion apoyo transversa'!AX134</f>
        <v>0.25</v>
      </c>
      <c r="N196" s="476">
        <f t="shared" si="117"/>
        <v>0.25</v>
      </c>
      <c r="O196" s="478">
        <f t="shared" si="181"/>
        <v>0.25</v>
      </c>
      <c r="P196" s="213"/>
      <c r="Q196" s="214" t="s">
        <v>204</v>
      </c>
      <c r="R196" s="248" t="s">
        <v>180</v>
      </c>
      <c r="S196" s="212" t="s">
        <v>204</v>
      </c>
      <c r="T196" s="673">
        <f>+'Plan de Accion apoyo transversa'!BH134</f>
        <v>0.25</v>
      </c>
      <c r="U196" s="673">
        <f>IF(T196&gt;100%,100%,T196)</f>
        <v>0.25</v>
      </c>
      <c r="V196" s="211">
        <f>+U196</f>
        <v>0.25</v>
      </c>
      <c r="W196" s="213"/>
      <c r="X196" s="214" t="s">
        <v>204</v>
      </c>
      <c r="Y196" s="248" t="s">
        <v>180</v>
      </c>
      <c r="Z196" s="212" t="s">
        <v>204</v>
      </c>
      <c r="AA196" s="217">
        <f>+'Plan de Accion apoyo transversa'!BR134</f>
        <v>0.25</v>
      </c>
      <c r="AB196" s="217">
        <f>IF(AA196&gt;100%,100%,AA196)</f>
        <v>0.25</v>
      </c>
      <c r="AC196" s="216">
        <f t="shared" si="187"/>
        <v>0.25</v>
      </c>
      <c r="AD196" s="213"/>
      <c r="AE196" s="214" t="s">
        <v>204</v>
      </c>
      <c r="AF196" s="248" t="s">
        <v>180</v>
      </c>
      <c r="AG196" s="212" t="s">
        <v>204</v>
      </c>
      <c r="AH196" s="248">
        <f>+'Plan de Accion apoyo transversa'!CB134</f>
        <v>0.25</v>
      </c>
      <c r="AI196" s="211">
        <f>IF(AH196&gt;100%,100%,AH196)</f>
        <v>0.25</v>
      </c>
      <c r="AJ196" s="230"/>
      <c r="AK196" s="1167"/>
      <c r="AL196" s="1488"/>
      <c r="AM196" s="1488"/>
      <c r="AN196" s="204"/>
      <c r="AO196" s="1501"/>
      <c r="AP196" s="1488"/>
      <c r="AQ196" s="204"/>
      <c r="AR196" s="1488"/>
      <c r="AS196" s="1488"/>
      <c r="AT196" s="204"/>
      <c r="AU196" s="1488"/>
      <c r="AV196" s="1488"/>
      <c r="AW196" s="202"/>
      <c r="AX196" s="229"/>
      <c r="AY196" s="235"/>
      <c r="AZ196" s="1488"/>
      <c r="BA196" s="1488"/>
      <c r="BB196" s="204"/>
      <c r="BC196" s="1501"/>
      <c r="BD196" s="1488"/>
      <c r="BE196" s="204"/>
      <c r="BF196" s="1488"/>
      <c r="BG196" s="1488"/>
      <c r="BH196" s="204"/>
      <c r="BI196" s="1488"/>
      <c r="BJ196" s="1488"/>
      <c r="BK196" s="202"/>
      <c r="BL196" s="229"/>
      <c r="BN196" s="1488"/>
      <c r="BO196" s="1488"/>
      <c r="BP196" s="204"/>
      <c r="BQ196" s="1501"/>
      <c r="BR196" s="1488"/>
      <c r="BS196" s="204"/>
      <c r="BT196" s="1488"/>
      <c r="BU196" s="1488"/>
      <c r="BV196" s="204"/>
      <c r="BW196" s="1488"/>
      <c r="BX196" s="1488"/>
      <c r="BY196" s="202"/>
      <c r="BZ196" s="229"/>
      <c r="CB196" s="1488"/>
      <c r="CC196" s="1488"/>
      <c r="CD196" s="204"/>
      <c r="CE196" s="1501"/>
      <c r="CF196" s="1488"/>
      <c r="CG196" s="204"/>
      <c r="CH196" s="1488"/>
      <c r="CI196" s="1488"/>
      <c r="CJ196" s="204"/>
      <c r="CK196" s="1488"/>
      <c r="CL196" s="1488"/>
      <c r="CM196" s="202"/>
      <c r="CN196" s="229"/>
    </row>
    <row r="197" spans="2:92" ht="79.5" customHeight="1" x14ac:dyDescent="0.25">
      <c r="B197" s="1589"/>
      <c r="C197" s="1471"/>
      <c r="D197" s="1443"/>
      <c r="E197" s="1440"/>
      <c r="F197" s="542" t="s">
        <v>527</v>
      </c>
      <c r="G197" s="288" t="str">
        <f>+'Plan de Accion apoyo transversa'!X181</f>
        <v>Registro de las bases de datos con datos personales ante la Superintendencia de Industria y Comercio - SIC</v>
      </c>
      <c r="H197" s="224" t="str">
        <f>+'Plan de Accion apoyo transversa'!AK181</f>
        <v># Registros realizados ante la SIC</v>
      </c>
      <c r="I197" s="236"/>
      <c r="J197" s="214">
        <f>+'Plan de Accion apoyo transversa'!AT181</f>
        <v>1</v>
      </c>
      <c r="K197" s="476">
        <f>+'Plan de Accion apoyo transversa'!CE181</f>
        <v>1</v>
      </c>
      <c r="L197" s="476">
        <f>IF(K197&gt;100%,100%,K197)</f>
        <v>1</v>
      </c>
      <c r="M197" s="476">
        <f>+'Plan de Accion apoyo transversa'!AX181</f>
        <v>1</v>
      </c>
      <c r="N197" s="476">
        <f>IF(M197&gt;100%,100%,M197)</f>
        <v>1</v>
      </c>
      <c r="O197" s="478">
        <f>+N197</f>
        <v>1</v>
      </c>
      <c r="P197" s="213"/>
      <c r="Q197" s="214">
        <f>+'Plan de Accion apoyo transversa'!BD181</f>
        <v>0</v>
      </c>
      <c r="R197" s="248" t="str">
        <f>+'Plan de Accion apoyo transversa'!CG181</f>
        <v>No Prog ni Ejec</v>
      </c>
      <c r="S197" s="212" t="s">
        <v>204</v>
      </c>
      <c r="T197" s="476">
        <f>+'Plan de Accion apoyo transversa'!BH181</f>
        <v>1</v>
      </c>
      <c r="U197" s="476">
        <f>IF(T197&gt;100%,100%,T197)</f>
        <v>1</v>
      </c>
      <c r="V197" s="211">
        <f>+U197</f>
        <v>1</v>
      </c>
      <c r="W197" s="213"/>
      <c r="X197" s="214">
        <f>+'Plan de Accion apoyo transversa'!BN181</f>
        <v>0</v>
      </c>
      <c r="Y197" s="248" t="str">
        <f>+'Plan de Accion apoyo transversa'!CI181</f>
        <v>No Prog ni Ejec</v>
      </c>
      <c r="Z197" s="212" t="s">
        <v>204</v>
      </c>
      <c r="AA197" s="217">
        <f>+'Plan de Accion apoyo transversa'!BR181</f>
        <v>1</v>
      </c>
      <c r="AB197" s="217">
        <f>IF(AA197&gt;100%,100%,AA197)</f>
        <v>1</v>
      </c>
      <c r="AC197" s="216">
        <f>+AB197</f>
        <v>1</v>
      </c>
      <c r="AD197" s="213"/>
      <c r="AE197" s="214">
        <f>+'Plan de Accion apoyo transversa'!BX181</f>
        <v>0</v>
      </c>
      <c r="AF197" s="248" t="str">
        <f>+'Plan de Accion apoyo transversa'!CK181</f>
        <v>No Prog ni Ejec</v>
      </c>
      <c r="AG197" s="212" t="s">
        <v>204</v>
      </c>
      <c r="AH197" s="248">
        <f>+'Plan de Accion apoyo transversa'!CB181</f>
        <v>1</v>
      </c>
      <c r="AI197" s="211">
        <f>IF(AH197&gt;100%,100%,AH197)</f>
        <v>1</v>
      </c>
      <c r="AJ197" s="230"/>
      <c r="AK197" s="1167"/>
      <c r="AL197" s="1488"/>
      <c r="AM197" s="1488"/>
      <c r="AN197" s="204"/>
      <c r="AO197" s="1501"/>
      <c r="AP197" s="1488"/>
      <c r="AQ197" s="204"/>
      <c r="AR197" s="1488"/>
      <c r="AS197" s="1488"/>
      <c r="AT197" s="204"/>
      <c r="AU197" s="1488"/>
      <c r="AV197" s="1488"/>
      <c r="AW197" s="202"/>
      <c r="AX197" s="229"/>
      <c r="AY197" s="235"/>
      <c r="AZ197" s="1488"/>
      <c r="BA197" s="1488"/>
      <c r="BB197" s="204"/>
      <c r="BC197" s="1501"/>
      <c r="BD197" s="1488"/>
      <c r="BE197" s="204"/>
      <c r="BF197" s="1488"/>
      <c r="BG197" s="1488"/>
      <c r="BH197" s="204"/>
      <c r="BI197" s="1488"/>
      <c r="BJ197" s="1488"/>
      <c r="BK197" s="202"/>
      <c r="BL197" s="229"/>
      <c r="BN197" s="1488"/>
      <c r="BO197" s="1488"/>
      <c r="BP197" s="204"/>
      <c r="BQ197" s="1501"/>
      <c r="BR197" s="1488"/>
      <c r="BS197" s="204"/>
      <c r="BT197" s="1488"/>
      <c r="BU197" s="1488"/>
      <c r="BV197" s="204"/>
      <c r="BW197" s="1488"/>
      <c r="BX197" s="1488"/>
      <c r="BY197" s="202"/>
      <c r="BZ197" s="229"/>
      <c r="CB197" s="1488"/>
      <c r="CC197" s="1488"/>
      <c r="CD197" s="204"/>
      <c r="CE197" s="1501"/>
      <c r="CF197" s="1488"/>
      <c r="CG197" s="204"/>
      <c r="CH197" s="1488"/>
      <c r="CI197" s="1488"/>
      <c r="CJ197" s="204"/>
      <c r="CK197" s="1488"/>
      <c r="CL197" s="1488"/>
      <c r="CM197" s="202"/>
      <c r="CN197" s="229"/>
    </row>
    <row r="198" spans="2:92" ht="153.75" customHeight="1" x14ac:dyDescent="0.25">
      <c r="B198" s="1589"/>
      <c r="C198" s="1471"/>
      <c r="D198" s="1444"/>
      <c r="E198" s="1441"/>
      <c r="F198" s="335" t="s">
        <v>336</v>
      </c>
      <c r="G198" s="288" t="str">
        <f>+'Plan de Accion apoyo transversa'!X142</f>
        <v>Implementación de un módulo tecnológico en el CRM como herramienta de medición de oportunidad de respuestas a PQRSD.</v>
      </c>
      <c r="H198" s="224" t="str">
        <f>+'Plan de Accion apoyo transversa'!AK142</f>
        <v># Módulos tecnológicos en el CRM como herramienta de medición de oportunidad de respuestas a PQRSD implementados.</v>
      </c>
      <c r="I198" s="236"/>
      <c r="J198" s="218">
        <f>+'Plan de Accion apoyo transversa'!AT142</f>
        <v>1</v>
      </c>
      <c r="K198" s="476">
        <f>+'Plan de Accion apoyo transversa'!CE142</f>
        <v>1</v>
      </c>
      <c r="L198" s="476">
        <f t="shared" si="180"/>
        <v>1</v>
      </c>
      <c r="M198" s="476">
        <f>+'Plan de Accion apoyo transversa'!AX142</f>
        <v>1</v>
      </c>
      <c r="N198" s="476">
        <f t="shared" si="117"/>
        <v>1</v>
      </c>
      <c r="O198" s="478">
        <f>+N198</f>
        <v>1</v>
      </c>
      <c r="P198" s="213"/>
      <c r="Q198" s="218">
        <f>+'Plan de Accion apoyo transversa'!BD142</f>
        <v>0</v>
      </c>
      <c r="R198" s="248" t="str">
        <f>+'Plan de Accion apoyo transversa'!CG142</f>
        <v>No Prog ni Ejec</v>
      </c>
      <c r="S198" s="212" t="s">
        <v>204</v>
      </c>
      <c r="T198" s="304">
        <f>+'Plan de Accion apoyo transversa'!BH142</f>
        <v>1</v>
      </c>
      <c r="U198" s="304">
        <f t="shared" si="183"/>
        <v>1</v>
      </c>
      <c r="V198" s="211">
        <f t="shared" si="184"/>
        <v>1</v>
      </c>
      <c r="W198" s="213"/>
      <c r="X198" s="218">
        <f>+'Plan de Accion apoyo transversa'!BN142</f>
        <v>0</v>
      </c>
      <c r="Y198" s="248" t="str">
        <f>+'Plan de Accion apoyo transversa'!CI142</f>
        <v>No Prog ni Ejec</v>
      </c>
      <c r="Z198" s="212" t="s">
        <v>204</v>
      </c>
      <c r="AA198" s="217">
        <f>+'Plan de Accion apoyo transversa'!BR142</f>
        <v>1</v>
      </c>
      <c r="AB198" s="217">
        <f t="shared" si="186"/>
        <v>1</v>
      </c>
      <c r="AC198" s="216">
        <f t="shared" si="187"/>
        <v>1</v>
      </c>
      <c r="AD198" s="213"/>
      <c r="AE198" s="219">
        <f>+'Plan de Accion apoyo transversa'!BX142</f>
        <v>0</v>
      </c>
      <c r="AF198" s="248" t="str">
        <f>+'Plan de Accion apoyo transversa'!CK142</f>
        <v>No Prog ni Ejec</v>
      </c>
      <c r="AG198" s="212" t="s">
        <v>204</v>
      </c>
      <c r="AH198" s="248">
        <f>+'Plan de Accion apoyo transversa'!CB142</f>
        <v>1</v>
      </c>
      <c r="AI198" s="211">
        <f t="shared" si="188"/>
        <v>1</v>
      </c>
      <c r="AJ198" s="230"/>
      <c r="AK198" s="1167"/>
      <c r="AL198" s="1488"/>
      <c r="AM198" s="1488"/>
      <c r="AN198" s="204"/>
      <c r="AO198" s="1501"/>
      <c r="AP198" s="1488"/>
      <c r="AQ198" s="204"/>
      <c r="AR198" s="1488"/>
      <c r="AS198" s="1488"/>
      <c r="AT198" s="204"/>
      <c r="AU198" s="1488"/>
      <c r="AV198" s="1488"/>
      <c r="AW198" s="202"/>
      <c r="AX198" s="229"/>
      <c r="AY198" s="235"/>
      <c r="AZ198" s="1488"/>
      <c r="BA198" s="1488"/>
      <c r="BB198" s="204"/>
      <c r="BC198" s="1501"/>
      <c r="BD198" s="1488"/>
      <c r="BE198" s="204"/>
      <c r="BF198" s="1488"/>
      <c r="BG198" s="1488"/>
      <c r="BH198" s="204"/>
      <c r="BI198" s="1488"/>
      <c r="BJ198" s="1488"/>
      <c r="BK198" s="202"/>
      <c r="BL198" s="229"/>
      <c r="BN198" s="1488"/>
      <c r="BO198" s="1488"/>
      <c r="BP198" s="204"/>
      <c r="BQ198" s="1501"/>
      <c r="BR198" s="1488"/>
      <c r="BS198" s="204"/>
      <c r="BT198" s="1488"/>
      <c r="BU198" s="1488"/>
      <c r="BV198" s="204"/>
      <c r="BW198" s="1488"/>
      <c r="BX198" s="1488"/>
      <c r="BY198" s="202"/>
      <c r="BZ198" s="229"/>
      <c r="CB198" s="1488"/>
      <c r="CC198" s="1488"/>
      <c r="CD198" s="204"/>
      <c r="CE198" s="1501"/>
      <c r="CF198" s="1488"/>
      <c r="CG198" s="204"/>
      <c r="CH198" s="1488"/>
      <c r="CI198" s="1488"/>
      <c r="CJ198" s="204"/>
      <c r="CK198" s="1488"/>
      <c r="CL198" s="1488"/>
      <c r="CM198" s="202"/>
      <c r="CN198" s="229"/>
    </row>
    <row r="199" spans="2:92" ht="102" customHeight="1" x14ac:dyDescent="0.25">
      <c r="B199" s="1589"/>
      <c r="C199" s="1471"/>
      <c r="D199" s="1442" t="s">
        <v>204</v>
      </c>
      <c r="E199" s="1439" t="s">
        <v>1185</v>
      </c>
      <c r="F199" s="1442" t="s">
        <v>336</v>
      </c>
      <c r="G199" s="288" t="str">
        <f>+'Plan de Accion apoyo transversa'!X153</f>
        <v>Política publicada en página web.</v>
      </c>
      <c r="H199" s="224" t="str">
        <f>+'Plan de Accion apoyo transversa'!AK153</f>
        <v># Políticas publicadas en página web.</v>
      </c>
      <c r="I199" s="236"/>
      <c r="J199" s="218">
        <f>+'Plan de Accion apoyo transversa'!AT153</f>
        <v>0</v>
      </c>
      <c r="K199" s="476" t="str">
        <f>+'Plan de Accion apoyo transversa'!CE153</f>
        <v>No Prog ni Ejec</v>
      </c>
      <c r="L199" s="476" t="s">
        <v>204</v>
      </c>
      <c r="M199" s="476">
        <f>+'Plan de Accion apoyo transversa'!AX153</f>
        <v>0</v>
      </c>
      <c r="N199" s="476">
        <f t="shared" si="117"/>
        <v>0</v>
      </c>
      <c r="O199" s="478" t="s">
        <v>204</v>
      </c>
      <c r="P199" s="213"/>
      <c r="Q199" s="218">
        <f>+'Plan de Accion apoyo transversa'!BD153</f>
        <v>0</v>
      </c>
      <c r="R199" s="248">
        <f>+'Plan de Accion apoyo transversa'!CG153</f>
        <v>0</v>
      </c>
      <c r="S199" s="212">
        <f t="shared" si="182"/>
        <v>0</v>
      </c>
      <c r="T199" s="304">
        <f>+'Plan de Accion apoyo transversa'!BH153</f>
        <v>0</v>
      </c>
      <c r="U199" s="304">
        <f t="shared" si="183"/>
        <v>0</v>
      </c>
      <c r="V199" s="211">
        <f t="shared" si="184"/>
        <v>0</v>
      </c>
      <c r="W199" s="213"/>
      <c r="X199" s="218">
        <f>+'Plan de Accion apoyo transversa'!BN153</f>
        <v>1</v>
      </c>
      <c r="Y199" s="248" t="str">
        <f>+'Plan de Accion apoyo transversa'!CI153</f>
        <v>No Prog, Ejec=  1</v>
      </c>
      <c r="Z199" s="212" t="s">
        <v>204</v>
      </c>
      <c r="AA199" s="217">
        <f>+'Plan de Accion apoyo transversa'!BR153</f>
        <v>1</v>
      </c>
      <c r="AB199" s="217">
        <f t="shared" si="186"/>
        <v>1</v>
      </c>
      <c r="AC199" s="216">
        <f t="shared" si="187"/>
        <v>1</v>
      </c>
      <c r="AD199" s="213"/>
      <c r="AE199" s="219">
        <f>+'Plan de Accion apoyo transversa'!BX153</f>
        <v>0</v>
      </c>
      <c r="AF199" s="248" t="str">
        <f>+'Plan de Accion apoyo transversa'!CK153</f>
        <v>No Prog ni Ejec</v>
      </c>
      <c r="AG199" s="212" t="s">
        <v>204</v>
      </c>
      <c r="AH199" s="248">
        <f>+'Plan de Accion apoyo transversa'!CB153</f>
        <v>1</v>
      </c>
      <c r="AI199" s="211">
        <f t="shared" si="188"/>
        <v>1</v>
      </c>
      <c r="AJ199" s="230"/>
      <c r="AK199" s="1167"/>
      <c r="AL199" s="1488"/>
      <c r="AM199" s="1488"/>
      <c r="AN199" s="204"/>
      <c r="AO199" s="1501"/>
      <c r="AP199" s="1488"/>
      <c r="AQ199" s="204"/>
      <c r="AR199" s="1488"/>
      <c r="AS199" s="1488"/>
      <c r="AT199" s="204"/>
      <c r="AU199" s="1488"/>
      <c r="AV199" s="1488"/>
      <c r="AW199" s="202"/>
      <c r="AX199" s="229"/>
      <c r="AY199" s="235"/>
      <c r="AZ199" s="1488"/>
      <c r="BA199" s="1488"/>
      <c r="BB199" s="204"/>
      <c r="BC199" s="1501"/>
      <c r="BD199" s="1488"/>
      <c r="BE199" s="204"/>
      <c r="BF199" s="1488"/>
      <c r="BG199" s="1488"/>
      <c r="BH199" s="204"/>
      <c r="BI199" s="1488"/>
      <c r="BJ199" s="1488"/>
      <c r="BK199" s="202"/>
      <c r="BL199" s="229"/>
      <c r="BN199" s="1488"/>
      <c r="BO199" s="1488"/>
      <c r="BP199" s="204"/>
      <c r="BQ199" s="1501"/>
      <c r="BR199" s="1488"/>
      <c r="BS199" s="204"/>
      <c r="BT199" s="1488"/>
      <c r="BU199" s="1488"/>
      <c r="BV199" s="204"/>
      <c r="BW199" s="1488"/>
      <c r="BX199" s="1488"/>
      <c r="BY199" s="202"/>
      <c r="BZ199" s="229"/>
      <c r="CB199" s="1488"/>
      <c r="CC199" s="1488"/>
      <c r="CD199" s="204"/>
      <c r="CE199" s="1501"/>
      <c r="CF199" s="1488"/>
      <c r="CG199" s="204"/>
      <c r="CH199" s="1488"/>
      <c r="CI199" s="1488"/>
      <c r="CJ199" s="204"/>
      <c r="CK199" s="1488"/>
      <c r="CL199" s="1488"/>
      <c r="CM199" s="202"/>
      <c r="CN199" s="229"/>
    </row>
    <row r="200" spans="2:92" ht="72" thickBot="1" x14ac:dyDescent="0.3">
      <c r="B200" s="1589"/>
      <c r="C200" s="1471"/>
      <c r="D200" s="1443"/>
      <c r="E200" s="1440"/>
      <c r="F200" s="1443"/>
      <c r="G200" s="288" t="str">
        <f>+'Plan de Accion apoyo transversa'!X159</f>
        <v>Informe consolidado de observaciones, recomendaciones y comentarios al Mapa de Riesgos y al Plan de Acción</v>
      </c>
      <c r="H200" s="224" t="str">
        <f>+'Plan de Accion apoyo transversa'!AK159</f>
        <v># informes al Mapa de Riesgos y al Plan de Acción</v>
      </c>
      <c r="I200" s="236"/>
      <c r="J200" s="218">
        <f>+'Plan de Accion apoyo transversa'!AT159</f>
        <v>1</v>
      </c>
      <c r="K200" s="476">
        <f>+'Plan de Accion apoyo transversa'!CE159</f>
        <v>1</v>
      </c>
      <c r="L200" s="476">
        <f t="shared" si="180"/>
        <v>1</v>
      </c>
      <c r="M200" s="476">
        <f>+'Plan de Accion apoyo transversa'!AX159</f>
        <v>1</v>
      </c>
      <c r="N200" s="476">
        <f t="shared" si="117"/>
        <v>1</v>
      </c>
      <c r="O200" s="478">
        <f>+N200</f>
        <v>1</v>
      </c>
      <c r="P200" s="213"/>
      <c r="Q200" s="218">
        <f>+'Plan de Accion apoyo transversa'!BD159</f>
        <v>0</v>
      </c>
      <c r="R200" s="248" t="str">
        <f>+'Plan de Accion apoyo transversa'!CG159</f>
        <v>No Prog ni Ejec</v>
      </c>
      <c r="S200" s="212" t="s">
        <v>204</v>
      </c>
      <c r="T200" s="304">
        <f>+'Plan de Accion apoyo transversa'!BH159</f>
        <v>1</v>
      </c>
      <c r="U200" s="304">
        <f t="shared" si="183"/>
        <v>1</v>
      </c>
      <c r="V200" s="211">
        <f t="shared" si="184"/>
        <v>1</v>
      </c>
      <c r="W200" s="213"/>
      <c r="X200" s="218">
        <f>+'Plan de Accion apoyo transversa'!BN159</f>
        <v>0</v>
      </c>
      <c r="Y200" s="248" t="str">
        <f>+'Plan de Accion apoyo transversa'!CI159</f>
        <v>No Prog ni Ejec</v>
      </c>
      <c r="Z200" s="212" t="s">
        <v>204</v>
      </c>
      <c r="AA200" s="217">
        <f>+'Plan de Accion apoyo transversa'!BR159</f>
        <v>1</v>
      </c>
      <c r="AB200" s="217">
        <f t="shared" si="186"/>
        <v>1</v>
      </c>
      <c r="AC200" s="216">
        <f t="shared" si="187"/>
        <v>1</v>
      </c>
      <c r="AD200" s="213"/>
      <c r="AE200" s="219">
        <f>+'Plan de Accion apoyo transversa'!BX159</f>
        <v>0</v>
      </c>
      <c r="AF200" s="248" t="str">
        <f>+'Plan de Accion apoyo transversa'!CK159</f>
        <v>No Prog ni Ejec</v>
      </c>
      <c r="AG200" s="212" t="s">
        <v>204</v>
      </c>
      <c r="AH200" s="248">
        <f>+'Plan de Accion apoyo transversa'!CB159</f>
        <v>1</v>
      </c>
      <c r="AI200" s="211">
        <f t="shared" si="188"/>
        <v>1</v>
      </c>
      <c r="AJ200" s="228"/>
      <c r="AK200" s="1167"/>
      <c r="AL200" s="1489"/>
      <c r="AM200" s="1489"/>
      <c r="AN200" s="204"/>
      <c r="AO200" s="1502"/>
      <c r="AP200" s="1489"/>
      <c r="AQ200" s="204"/>
      <c r="AR200" s="1489"/>
      <c r="AS200" s="1489"/>
      <c r="AT200" s="204"/>
      <c r="AU200" s="1489"/>
      <c r="AV200" s="1489"/>
      <c r="AW200" s="202"/>
      <c r="AX200" s="227"/>
      <c r="AY200" s="235"/>
      <c r="AZ200" s="1489"/>
      <c r="BA200" s="1489"/>
      <c r="BB200" s="204"/>
      <c r="BC200" s="1502"/>
      <c r="BD200" s="1489"/>
      <c r="BE200" s="204"/>
      <c r="BF200" s="1489"/>
      <c r="BG200" s="1489"/>
      <c r="BH200" s="204"/>
      <c r="BI200" s="1489"/>
      <c r="BJ200" s="1489"/>
      <c r="BK200" s="202"/>
      <c r="BL200" s="227"/>
      <c r="BN200" s="1489"/>
      <c r="BO200" s="1489"/>
      <c r="BP200" s="204"/>
      <c r="BQ200" s="1502"/>
      <c r="BR200" s="1489"/>
      <c r="BS200" s="204"/>
      <c r="BT200" s="1489"/>
      <c r="BU200" s="1489"/>
      <c r="BV200" s="204"/>
      <c r="BW200" s="1489"/>
      <c r="BX200" s="1489"/>
      <c r="BY200" s="202"/>
      <c r="BZ200" s="227"/>
      <c r="CB200" s="1489"/>
      <c r="CC200" s="1489"/>
      <c r="CD200" s="204"/>
      <c r="CE200" s="1502"/>
      <c r="CF200" s="1489"/>
      <c r="CG200" s="204"/>
      <c r="CH200" s="1489"/>
      <c r="CI200" s="1489"/>
      <c r="CJ200" s="204"/>
      <c r="CK200" s="1489"/>
      <c r="CL200" s="1489"/>
      <c r="CM200" s="202"/>
      <c r="CN200" s="227"/>
    </row>
    <row r="201" spans="2:92" ht="90.75" customHeight="1" x14ac:dyDescent="0.25">
      <c r="B201" s="1589"/>
      <c r="C201" s="1471"/>
      <c r="D201" s="1443"/>
      <c r="E201" s="1440"/>
      <c r="F201" s="1443"/>
      <c r="G201" s="288" t="str">
        <f>+'Plan de Accion apoyo transversa'!X160</f>
        <v>Sección de publicación de información habilitada en el sitio de transparencia de la página Web</v>
      </c>
      <c r="H201" s="224" t="str">
        <f>+'Plan de Accion apoyo transversa'!AK160</f>
        <v># Secciones de publicación de información habilitadas</v>
      </c>
      <c r="I201" s="236"/>
      <c r="J201" s="218">
        <f>+'Plan de Accion apoyo transversa'!AT160</f>
        <v>0</v>
      </c>
      <c r="K201" s="476" t="str">
        <f>+'Plan de Accion apoyo transversa'!CE160</f>
        <v>No Prog ni Ejec</v>
      </c>
      <c r="L201" s="476" t="s">
        <v>204</v>
      </c>
      <c r="M201" s="476">
        <f>+'Plan de Accion apoyo transversa'!AX160</f>
        <v>0</v>
      </c>
      <c r="N201" s="476">
        <f t="shared" si="117"/>
        <v>0</v>
      </c>
      <c r="O201" s="478" t="s">
        <v>204</v>
      </c>
      <c r="P201" s="213"/>
      <c r="Q201" s="218">
        <f>+'Plan de Accion apoyo transversa'!BD160</f>
        <v>1</v>
      </c>
      <c r="R201" s="248">
        <f>+'Plan de Accion apoyo transversa'!CG160</f>
        <v>1</v>
      </c>
      <c r="S201" s="212">
        <f t="shared" si="182"/>
        <v>1</v>
      </c>
      <c r="T201" s="304">
        <f>+'Plan de Accion apoyo transversa'!BH160</f>
        <v>1</v>
      </c>
      <c r="U201" s="304">
        <f t="shared" si="183"/>
        <v>1</v>
      </c>
      <c r="V201" s="211">
        <f t="shared" si="184"/>
        <v>1</v>
      </c>
      <c r="W201" s="213"/>
      <c r="X201" s="218">
        <f>+'Plan de Accion apoyo transversa'!BN160</f>
        <v>0</v>
      </c>
      <c r="Y201" s="248" t="str">
        <f>+'Plan de Accion apoyo transversa'!CI160</f>
        <v>No Prog ni Ejec</v>
      </c>
      <c r="Z201" s="212" t="s">
        <v>204</v>
      </c>
      <c r="AA201" s="217">
        <f>+'Plan de Accion apoyo transversa'!BR160</f>
        <v>1</v>
      </c>
      <c r="AB201" s="217">
        <f t="shared" si="186"/>
        <v>1</v>
      </c>
      <c r="AC201" s="216">
        <f t="shared" si="187"/>
        <v>1</v>
      </c>
      <c r="AD201" s="213"/>
      <c r="AE201" s="219">
        <f>+'Plan de Accion apoyo transversa'!BX160</f>
        <v>0</v>
      </c>
      <c r="AF201" s="248" t="str">
        <f>+'Plan de Accion apoyo transversa'!CK160</f>
        <v>No Prog ni Ejec</v>
      </c>
      <c r="AG201" s="212" t="s">
        <v>204</v>
      </c>
      <c r="AH201" s="248">
        <f>+'Plan de Accion apoyo transversa'!CB160</f>
        <v>1</v>
      </c>
      <c r="AI201" s="211">
        <f t="shared" si="188"/>
        <v>1</v>
      </c>
      <c r="AJ201" s="230"/>
      <c r="AK201" s="1167"/>
      <c r="AL201" s="207"/>
      <c r="AM201" s="207"/>
      <c r="AN201" s="204"/>
      <c r="AO201" s="208"/>
      <c r="AP201" s="207"/>
      <c r="AQ201" s="204"/>
      <c r="AR201" s="207"/>
      <c r="AS201" s="207"/>
      <c r="AT201" s="204"/>
      <c r="AU201" s="207"/>
      <c r="AV201" s="207"/>
      <c r="AW201" s="202"/>
      <c r="AX201" s="229"/>
      <c r="AY201" s="235"/>
      <c r="AZ201" s="207"/>
      <c r="BA201" s="207"/>
      <c r="BB201" s="204"/>
      <c r="BC201" s="208"/>
      <c r="BD201" s="207"/>
      <c r="BE201" s="204"/>
      <c r="BF201" s="207"/>
      <c r="BG201" s="207"/>
      <c r="BH201" s="204"/>
      <c r="BI201" s="207"/>
      <c r="BJ201" s="207"/>
      <c r="BK201" s="202"/>
      <c r="BL201" s="229"/>
      <c r="BN201" s="207"/>
      <c r="BO201" s="207"/>
      <c r="BP201" s="204"/>
      <c r="BQ201" s="208"/>
      <c r="BR201" s="207"/>
      <c r="BS201" s="204"/>
      <c r="BT201" s="207"/>
      <c r="BU201" s="207"/>
      <c r="BV201" s="204"/>
      <c r="BW201" s="207"/>
      <c r="BX201" s="207"/>
      <c r="BY201" s="202"/>
      <c r="BZ201" s="229"/>
      <c r="CB201" s="207"/>
      <c r="CC201" s="207"/>
      <c r="CD201" s="204"/>
      <c r="CE201" s="208"/>
      <c r="CF201" s="207"/>
      <c r="CG201" s="204"/>
      <c r="CH201" s="207"/>
      <c r="CI201" s="207"/>
      <c r="CJ201" s="204"/>
      <c r="CK201" s="207"/>
      <c r="CL201" s="207"/>
      <c r="CM201" s="202"/>
      <c r="CN201" s="229"/>
    </row>
    <row r="202" spans="2:92" ht="77.25" customHeight="1" x14ac:dyDescent="0.25">
      <c r="B202" s="1589"/>
      <c r="C202" s="1471"/>
      <c r="D202" s="1443"/>
      <c r="E202" s="1440"/>
      <c r="F202" s="1443"/>
      <c r="G202" s="288" t="str">
        <f>+'Plan de Accion apoyo transversa'!X161</f>
        <v>Informe de gestión de la entidad vigencia 2018 publicado</v>
      </c>
      <c r="H202" s="224" t="str">
        <f>+'Plan de Accion apoyo transversa'!AK161</f>
        <v># Informes de gestión publicados</v>
      </c>
      <c r="I202" s="236"/>
      <c r="J202" s="218">
        <f>+'Plan de Accion apoyo transversa'!AT161</f>
        <v>1</v>
      </c>
      <c r="K202" s="476">
        <f>+'Plan de Accion apoyo transversa'!CE161</f>
        <v>1</v>
      </c>
      <c r="L202" s="476">
        <f t="shared" si="180"/>
        <v>1</v>
      </c>
      <c r="M202" s="476">
        <f>+'Plan de Accion apoyo transversa'!AX161</f>
        <v>1</v>
      </c>
      <c r="N202" s="476">
        <f t="shared" si="117"/>
        <v>1</v>
      </c>
      <c r="O202" s="478">
        <f>+N202</f>
        <v>1</v>
      </c>
      <c r="P202" s="213"/>
      <c r="Q202" s="218">
        <f>+'Plan de Accion apoyo transversa'!BD161</f>
        <v>0</v>
      </c>
      <c r="R202" s="248" t="str">
        <f>+'Plan de Accion apoyo transversa'!CG161</f>
        <v>No Prog ni Ejec</v>
      </c>
      <c r="S202" s="212" t="s">
        <v>204</v>
      </c>
      <c r="T202" s="304">
        <f>+'Plan de Accion apoyo transversa'!BH161</f>
        <v>1</v>
      </c>
      <c r="U202" s="304">
        <f t="shared" si="183"/>
        <v>1</v>
      </c>
      <c r="V202" s="211">
        <f t="shared" si="184"/>
        <v>1</v>
      </c>
      <c r="W202" s="213"/>
      <c r="X202" s="218">
        <f>+'Plan de Accion apoyo transversa'!BN161</f>
        <v>0</v>
      </c>
      <c r="Y202" s="248" t="str">
        <f>+'Plan de Accion apoyo transversa'!CI161</f>
        <v>No Prog ni Ejec</v>
      </c>
      <c r="Z202" s="212" t="s">
        <v>204</v>
      </c>
      <c r="AA202" s="217">
        <f>+'Plan de Accion apoyo transversa'!BR161</f>
        <v>1</v>
      </c>
      <c r="AB202" s="217">
        <f t="shared" si="186"/>
        <v>1</v>
      </c>
      <c r="AC202" s="216">
        <f t="shared" si="187"/>
        <v>1</v>
      </c>
      <c r="AD202" s="213"/>
      <c r="AE202" s="219">
        <f>+'Plan de Accion apoyo transversa'!BX161</f>
        <v>0</v>
      </c>
      <c r="AF202" s="248" t="str">
        <f>+'Plan de Accion apoyo transversa'!CK161</f>
        <v>No Prog ni Ejec</v>
      </c>
      <c r="AG202" s="212" t="s">
        <v>204</v>
      </c>
      <c r="AH202" s="248">
        <f>+'Plan de Accion apoyo transversa'!CB161</f>
        <v>1</v>
      </c>
      <c r="AI202" s="211">
        <f t="shared" si="188"/>
        <v>1</v>
      </c>
      <c r="AJ202" s="230"/>
      <c r="AK202" s="1167"/>
      <c r="AL202" s="207"/>
      <c r="AM202" s="207"/>
      <c r="AN202" s="204"/>
      <c r="AO202" s="208"/>
      <c r="AP202" s="207"/>
      <c r="AQ202" s="204"/>
      <c r="AR202" s="207"/>
      <c r="AS202" s="207"/>
      <c r="AT202" s="204"/>
      <c r="AU202" s="207"/>
      <c r="AV202" s="207"/>
      <c r="AW202" s="202"/>
      <c r="AX202" s="229"/>
      <c r="AY202" s="235"/>
      <c r="AZ202" s="207"/>
      <c r="BA202" s="207"/>
      <c r="BB202" s="204"/>
      <c r="BC202" s="208"/>
      <c r="BD202" s="207"/>
      <c r="BE202" s="204"/>
      <c r="BF202" s="207"/>
      <c r="BG202" s="207"/>
      <c r="BH202" s="204"/>
      <c r="BI202" s="207"/>
      <c r="BJ202" s="207"/>
      <c r="BK202" s="202"/>
      <c r="BL202" s="229"/>
      <c r="BN202" s="207"/>
      <c r="BO202" s="207"/>
      <c r="BP202" s="204"/>
      <c r="BQ202" s="208"/>
      <c r="BR202" s="207"/>
      <c r="BS202" s="204"/>
      <c r="BT202" s="207"/>
      <c r="BU202" s="207"/>
      <c r="BV202" s="204"/>
      <c r="BW202" s="207"/>
      <c r="BX202" s="207"/>
      <c r="BY202" s="202"/>
      <c r="BZ202" s="229"/>
      <c r="CB202" s="207"/>
      <c r="CC202" s="207"/>
      <c r="CD202" s="204"/>
      <c r="CE202" s="208"/>
      <c r="CF202" s="207"/>
      <c r="CG202" s="204"/>
      <c r="CH202" s="207"/>
      <c r="CI202" s="207"/>
      <c r="CJ202" s="204"/>
      <c r="CK202" s="207"/>
      <c r="CL202" s="207"/>
      <c r="CM202" s="202"/>
      <c r="CN202" s="229"/>
    </row>
    <row r="203" spans="2:92" ht="69.75" customHeight="1" x14ac:dyDescent="0.25">
      <c r="B203" s="1589"/>
      <c r="C203" s="1471"/>
      <c r="D203" s="1443"/>
      <c r="E203" s="1440"/>
      <c r="F203" s="1443"/>
      <c r="G203" s="288" t="str">
        <f>+'Plan de Accion apoyo transversa'!X162</f>
        <v>Informe de resultados de la estrategia de rendición de cuentas publicado en página web de la entidad.</v>
      </c>
      <c r="H203" s="224" t="str">
        <f>+'Plan de Accion apoyo transversa'!AK162</f>
        <v># Informes de resultados de la estrategia de rendición de cuentas publicados</v>
      </c>
      <c r="I203" s="236"/>
      <c r="J203" s="218">
        <f>+'Plan de Accion apoyo transversa'!AT162</f>
        <v>1</v>
      </c>
      <c r="K203" s="476">
        <f>+'Plan de Accion apoyo transversa'!CE162</f>
        <v>1</v>
      </c>
      <c r="L203" s="476">
        <f t="shared" si="180"/>
        <v>1</v>
      </c>
      <c r="M203" s="476">
        <f>+'Plan de Accion apoyo transversa'!AX162</f>
        <v>1</v>
      </c>
      <c r="N203" s="476">
        <f t="shared" si="117"/>
        <v>1</v>
      </c>
      <c r="O203" s="478">
        <f>+N203</f>
        <v>1</v>
      </c>
      <c r="P203" s="213"/>
      <c r="Q203" s="218">
        <f>+'Plan de Accion apoyo transversa'!BD162</f>
        <v>0</v>
      </c>
      <c r="R203" s="248" t="str">
        <f>+'Plan de Accion apoyo transversa'!CG162</f>
        <v>No Prog ni Ejec</v>
      </c>
      <c r="S203" s="212" t="s">
        <v>204</v>
      </c>
      <c r="T203" s="304">
        <f>+'Plan de Accion apoyo transversa'!BH162</f>
        <v>1</v>
      </c>
      <c r="U203" s="304">
        <f t="shared" si="183"/>
        <v>1</v>
      </c>
      <c r="V203" s="211">
        <f t="shared" si="184"/>
        <v>1</v>
      </c>
      <c r="W203" s="213"/>
      <c r="X203" s="218">
        <f>+'Plan de Accion apoyo transversa'!BN162</f>
        <v>0</v>
      </c>
      <c r="Y203" s="248" t="str">
        <f>+'Plan de Accion apoyo transversa'!CI162</f>
        <v>No Prog ni Ejec</v>
      </c>
      <c r="Z203" s="212" t="s">
        <v>204</v>
      </c>
      <c r="AA203" s="217">
        <f>+'Plan de Accion apoyo transversa'!BR162</f>
        <v>1</v>
      </c>
      <c r="AB203" s="217">
        <f t="shared" si="186"/>
        <v>1</v>
      </c>
      <c r="AC203" s="216">
        <f t="shared" si="187"/>
        <v>1</v>
      </c>
      <c r="AD203" s="213"/>
      <c r="AE203" s="219">
        <f>+'Plan de Accion apoyo transversa'!BX162</f>
        <v>0</v>
      </c>
      <c r="AF203" s="248" t="str">
        <f>+'Plan de Accion apoyo transversa'!CK162</f>
        <v>No Prog ni Ejec</v>
      </c>
      <c r="AG203" s="212" t="s">
        <v>204</v>
      </c>
      <c r="AH203" s="248">
        <f>+'Plan de Accion apoyo transversa'!CB162</f>
        <v>1</v>
      </c>
      <c r="AI203" s="211">
        <f t="shared" si="188"/>
        <v>1</v>
      </c>
      <c r="AJ203" s="230"/>
      <c r="AK203" s="1167"/>
      <c r="AL203" s="207"/>
      <c r="AM203" s="207"/>
      <c r="AN203" s="204"/>
      <c r="AO203" s="208"/>
      <c r="AP203" s="207"/>
      <c r="AQ203" s="204"/>
      <c r="AR203" s="207"/>
      <c r="AS203" s="207"/>
      <c r="AT203" s="204"/>
      <c r="AU203" s="207"/>
      <c r="AV203" s="207"/>
      <c r="AW203" s="202"/>
      <c r="AX203" s="229"/>
      <c r="AY203" s="235"/>
      <c r="AZ203" s="207"/>
      <c r="BA203" s="207"/>
      <c r="BB203" s="204"/>
      <c r="BC203" s="208"/>
      <c r="BD203" s="207"/>
      <c r="BE203" s="204"/>
      <c r="BF203" s="207"/>
      <c r="BG203" s="207"/>
      <c r="BH203" s="204"/>
      <c r="BI203" s="207"/>
      <c r="BJ203" s="207"/>
      <c r="BK203" s="202"/>
      <c r="BL203" s="229"/>
      <c r="BN203" s="207"/>
      <c r="BO203" s="207"/>
      <c r="BP203" s="204"/>
      <c r="BQ203" s="208"/>
      <c r="BR203" s="207"/>
      <c r="BS203" s="204"/>
      <c r="BT203" s="207"/>
      <c r="BU203" s="207"/>
      <c r="BV203" s="204"/>
      <c r="BW203" s="207"/>
      <c r="BX203" s="207"/>
      <c r="BY203" s="202"/>
      <c r="BZ203" s="229"/>
      <c r="CB203" s="207"/>
      <c r="CC203" s="207"/>
      <c r="CD203" s="204"/>
      <c r="CE203" s="208"/>
      <c r="CF203" s="207"/>
      <c r="CG203" s="204"/>
      <c r="CH203" s="207"/>
      <c r="CI203" s="207"/>
      <c r="CJ203" s="204"/>
      <c r="CK203" s="207"/>
      <c r="CL203" s="207"/>
      <c r="CM203" s="202"/>
      <c r="CN203" s="229"/>
    </row>
    <row r="204" spans="2:92" ht="75.75" customHeight="1" x14ac:dyDescent="0.25">
      <c r="B204" s="1589"/>
      <c r="C204" s="1471"/>
      <c r="D204" s="1444"/>
      <c r="E204" s="1441"/>
      <c r="F204" s="1443"/>
      <c r="G204" s="288" t="str">
        <f>+'Plan de Accion apoyo transversa'!X163</f>
        <v>Solicitudes de publicación de información a las dependencias</v>
      </c>
      <c r="H204" s="224" t="str">
        <f>+'Plan de Accion apoyo transversa'!AK163</f>
        <v># Solicitudes realizadas a las dependencias / # solicitudes requeridas</v>
      </c>
      <c r="I204" s="236"/>
      <c r="J204" s="214">
        <f>+'Plan de Accion apoyo transversa'!AT163</f>
        <v>0.25</v>
      </c>
      <c r="K204" s="476">
        <f>+'Plan de Accion apoyo transversa'!CE163</f>
        <v>1</v>
      </c>
      <c r="L204" s="476">
        <f t="shared" si="180"/>
        <v>1</v>
      </c>
      <c r="M204" s="476">
        <f>+'Plan de Accion apoyo transversa'!AX163</f>
        <v>0.25</v>
      </c>
      <c r="N204" s="476">
        <f t="shared" si="117"/>
        <v>0.25</v>
      </c>
      <c r="O204" s="478">
        <f>+N204</f>
        <v>0.25</v>
      </c>
      <c r="P204" s="213"/>
      <c r="Q204" s="214">
        <f>+'Plan de Accion apoyo transversa'!BD163</f>
        <v>0.25</v>
      </c>
      <c r="R204" s="248">
        <f>+'Plan de Accion apoyo transversa'!CG163</f>
        <v>1</v>
      </c>
      <c r="S204" s="212">
        <f>IF(R204&gt;100%,100%,R204)</f>
        <v>1</v>
      </c>
      <c r="T204" s="304">
        <f>+'Plan de Accion apoyo transversa'!BH163</f>
        <v>0.5</v>
      </c>
      <c r="U204" s="304">
        <f t="shared" si="183"/>
        <v>0.5</v>
      </c>
      <c r="V204" s="211">
        <f t="shared" si="184"/>
        <v>0.5</v>
      </c>
      <c r="W204" s="213"/>
      <c r="X204" s="214">
        <f>+'Plan de Accion apoyo transversa'!BN163</f>
        <v>0.25</v>
      </c>
      <c r="Y204" s="248">
        <f>+'Plan de Accion apoyo transversa'!CI163</f>
        <v>1</v>
      </c>
      <c r="Z204" s="212">
        <f>IF(Y204&gt;100%,100%,Y204)</f>
        <v>1</v>
      </c>
      <c r="AA204" s="217">
        <f>+'Plan de Accion apoyo transversa'!BR163</f>
        <v>0.75</v>
      </c>
      <c r="AB204" s="217">
        <f t="shared" si="186"/>
        <v>0.75</v>
      </c>
      <c r="AC204" s="216">
        <f t="shared" si="187"/>
        <v>0.75</v>
      </c>
      <c r="AD204" s="213"/>
      <c r="AE204" s="214">
        <f>+'Plan de Accion apoyo transversa'!BX163</f>
        <v>0.25</v>
      </c>
      <c r="AF204" s="248">
        <f>+'Plan de Accion apoyo transversa'!CK163</f>
        <v>1</v>
      </c>
      <c r="AG204" s="212">
        <f>IF(AF204&gt;100%,100%,AF204)</f>
        <v>1</v>
      </c>
      <c r="AH204" s="248">
        <f>+'Plan de Accion apoyo transversa'!CB163</f>
        <v>1</v>
      </c>
      <c r="AI204" s="211">
        <f t="shared" si="188"/>
        <v>1</v>
      </c>
      <c r="AJ204" s="230"/>
      <c r="AK204" s="1167"/>
      <c r="AL204" s="207"/>
      <c r="AM204" s="207"/>
      <c r="AN204" s="204"/>
      <c r="AO204" s="208"/>
      <c r="AP204" s="207"/>
      <c r="AQ204" s="204"/>
      <c r="AR204" s="207"/>
      <c r="AS204" s="207"/>
      <c r="AT204" s="204"/>
      <c r="AU204" s="207"/>
      <c r="AV204" s="207"/>
      <c r="AW204" s="202"/>
      <c r="AX204" s="229"/>
      <c r="AY204" s="235"/>
      <c r="AZ204" s="207"/>
      <c r="BA204" s="207"/>
      <c r="BB204" s="204"/>
      <c r="BC204" s="208"/>
      <c r="BD204" s="207"/>
      <c r="BE204" s="204"/>
      <c r="BF204" s="207"/>
      <c r="BG204" s="207"/>
      <c r="BH204" s="204"/>
      <c r="BI204" s="207"/>
      <c r="BJ204" s="207"/>
      <c r="BK204" s="202"/>
      <c r="BL204" s="229"/>
      <c r="BN204" s="207"/>
      <c r="BO204" s="207"/>
      <c r="BP204" s="204"/>
      <c r="BQ204" s="208"/>
      <c r="BR204" s="207"/>
      <c r="BS204" s="204"/>
      <c r="BT204" s="207"/>
      <c r="BU204" s="207"/>
      <c r="BV204" s="204"/>
      <c r="BW204" s="207"/>
      <c r="BX204" s="207"/>
      <c r="BY204" s="202"/>
      <c r="BZ204" s="229"/>
      <c r="CB204" s="207"/>
      <c r="CC204" s="207"/>
      <c r="CD204" s="204"/>
      <c r="CE204" s="208"/>
      <c r="CF204" s="207"/>
      <c r="CG204" s="204"/>
      <c r="CH204" s="207"/>
      <c r="CI204" s="207"/>
      <c r="CJ204" s="204"/>
      <c r="CK204" s="207"/>
      <c r="CL204" s="207"/>
      <c r="CM204" s="202"/>
      <c r="CN204" s="229"/>
    </row>
    <row r="205" spans="2:92" ht="75.75" customHeight="1" x14ac:dyDescent="0.25">
      <c r="B205" s="1589"/>
      <c r="C205" s="1471"/>
      <c r="D205" s="300" t="s">
        <v>204</v>
      </c>
      <c r="E205" s="315" t="s">
        <v>12</v>
      </c>
      <c r="F205" s="1443"/>
      <c r="G205" s="308" t="str">
        <f>+'Plan de Accion apoyo transversa'!X176</f>
        <v>Proyecto de resolución entregado al Ministerio de Salud para aprobación</v>
      </c>
      <c r="H205" s="224" t="str">
        <f>+'Plan de Accion apoyo transversa'!AK176</f>
        <v># Proyectos de Resolución entregados</v>
      </c>
      <c r="I205" s="236"/>
      <c r="J205" s="218">
        <f>+'Plan de Accion apoyo transversa'!AT176</f>
        <v>0</v>
      </c>
      <c r="K205" s="476" t="str">
        <f>+'Plan de Accion apoyo transversa'!CE176</f>
        <v>No Prog ni Ejec</v>
      </c>
      <c r="L205" s="476" t="s">
        <v>204</v>
      </c>
      <c r="M205" s="476">
        <f>+'Plan de Accion apoyo transversa'!AX176</f>
        <v>0</v>
      </c>
      <c r="N205" s="476">
        <f t="shared" si="117"/>
        <v>0</v>
      </c>
      <c r="O205" s="478" t="s">
        <v>204</v>
      </c>
      <c r="P205" s="213"/>
      <c r="Q205" s="218">
        <f>+'Plan de Accion apoyo transversa'!BD176</f>
        <v>0</v>
      </c>
      <c r="R205" s="304" t="str">
        <f>+'Plan de Accion apoyo transversa'!CG176</f>
        <v>No Prog ni Ejec</v>
      </c>
      <c r="S205" s="212" t="s">
        <v>204</v>
      </c>
      <c r="T205" s="304">
        <f>+'Plan de Accion apoyo transversa'!BH176</f>
        <v>0</v>
      </c>
      <c r="U205" s="304">
        <f t="shared" si="183"/>
        <v>0</v>
      </c>
      <c r="V205" s="211" t="s">
        <v>204</v>
      </c>
      <c r="W205" s="213"/>
      <c r="X205" s="218">
        <f>+'Plan de Accion apoyo transversa'!BN176</f>
        <v>0</v>
      </c>
      <c r="Y205" s="304" t="str">
        <f>+'Plan de Accion apoyo transversa'!CI176</f>
        <v>No Prog ni Ejec</v>
      </c>
      <c r="Z205" s="212" t="s">
        <v>204</v>
      </c>
      <c r="AA205" s="217">
        <f>+'Plan de Accion apoyo transversa'!BR176</f>
        <v>0</v>
      </c>
      <c r="AB205" s="217">
        <f t="shared" si="186"/>
        <v>0</v>
      </c>
      <c r="AC205" s="216" t="s">
        <v>204</v>
      </c>
      <c r="AD205" s="213"/>
      <c r="AE205" s="219">
        <f>+'Plan de Accion apoyo transversa'!BX176</f>
        <v>0</v>
      </c>
      <c r="AF205" s="1042" t="str">
        <f>+'Plan de Accion apoyo transversa'!CK164</f>
        <v>No Prog ni Ejec</v>
      </c>
      <c r="AG205" s="212" t="s">
        <v>204</v>
      </c>
      <c r="AH205" s="304">
        <f>+'Plan de Accion apoyo transversa'!CB176</f>
        <v>0</v>
      </c>
      <c r="AI205" s="211" t="s">
        <v>204</v>
      </c>
      <c r="AJ205" s="230"/>
      <c r="AK205" s="1167"/>
      <c r="AL205" s="309"/>
      <c r="AM205" s="309"/>
      <c r="AN205" s="204"/>
      <c r="AO205" s="310"/>
      <c r="AP205" s="309"/>
      <c r="AQ205" s="204"/>
      <c r="AR205" s="309"/>
      <c r="AS205" s="309"/>
      <c r="AT205" s="204"/>
      <c r="AU205" s="309"/>
      <c r="AV205" s="309"/>
      <c r="AW205" s="202"/>
      <c r="AX205" s="229"/>
      <c r="AY205" s="235"/>
      <c r="AZ205" s="309"/>
      <c r="BA205" s="309"/>
      <c r="BB205" s="204"/>
      <c r="BC205" s="310"/>
      <c r="BD205" s="309"/>
      <c r="BE205" s="204"/>
      <c r="BF205" s="309"/>
      <c r="BG205" s="309"/>
      <c r="BH205" s="204"/>
      <c r="BI205" s="309"/>
      <c r="BJ205" s="309"/>
      <c r="BK205" s="202"/>
      <c r="BL205" s="229"/>
      <c r="BN205" s="309"/>
      <c r="BO205" s="309"/>
      <c r="BP205" s="204"/>
      <c r="BQ205" s="310"/>
      <c r="BR205" s="309"/>
      <c r="BS205" s="204"/>
      <c r="BT205" s="309"/>
      <c r="BU205" s="309"/>
      <c r="BV205" s="204"/>
      <c r="BW205" s="309"/>
      <c r="BX205" s="309"/>
      <c r="BY205" s="202"/>
      <c r="BZ205" s="229"/>
      <c r="CB205" s="309"/>
      <c r="CC205" s="309"/>
      <c r="CD205" s="204"/>
      <c r="CE205" s="310"/>
      <c r="CF205" s="309"/>
      <c r="CG205" s="204"/>
      <c r="CH205" s="309"/>
      <c r="CI205" s="309"/>
      <c r="CJ205" s="204"/>
      <c r="CK205" s="309"/>
      <c r="CL205" s="309"/>
      <c r="CM205" s="202"/>
      <c r="CN205" s="229"/>
    </row>
    <row r="206" spans="2:92" ht="57.75" customHeight="1" x14ac:dyDescent="0.25">
      <c r="B206" s="1589"/>
      <c r="C206" s="1471"/>
      <c r="D206" s="300" t="s">
        <v>204</v>
      </c>
      <c r="E206" s="1442" t="str">
        <f>+'[7]Plan de Accion 2018'!B283</f>
        <v xml:space="preserve">Dirección de Otras Prestaciones  </v>
      </c>
      <c r="F206" s="1443"/>
      <c r="G206" s="308" t="str">
        <f>+'Plan de Accion apoyo transversa'!X165</f>
        <v>Formulario FURPEN mejorado</v>
      </c>
      <c r="H206" s="224" t="str">
        <f>+'Plan de Accion apoyo transversa'!AK165</f>
        <v># Formularios FURPEN mejorados</v>
      </c>
      <c r="I206" s="236"/>
      <c r="J206" s="218">
        <f>+'Plan de Accion apoyo transversa'!AT165</f>
        <v>0</v>
      </c>
      <c r="K206" s="476">
        <f>+'Plan de Accion apoyo transversa'!CE165</f>
        <v>0</v>
      </c>
      <c r="L206" s="476">
        <f t="shared" ref="L206:L213" si="192">IF(K206&gt;100%,100%,K206)</f>
        <v>0</v>
      </c>
      <c r="M206" s="304">
        <f>+'Plan de Accion apoyo transversa'!AX165</f>
        <v>0</v>
      </c>
      <c r="N206" s="476">
        <f t="shared" si="117"/>
        <v>0</v>
      </c>
      <c r="O206" s="305">
        <f>+N206</f>
        <v>0</v>
      </c>
      <c r="P206" s="213"/>
      <c r="Q206" s="218" t="s">
        <v>204</v>
      </c>
      <c r="R206" s="304" t="str">
        <f>+'Plan de Accion apoyo transversa'!CG165</f>
        <v>No Prog ni Ejec</v>
      </c>
      <c r="S206" s="212" t="s">
        <v>204</v>
      </c>
      <c r="T206" s="673">
        <f>+'Plan de Accion apoyo transversa'!BH165</f>
        <v>0</v>
      </c>
      <c r="U206" s="673">
        <f t="shared" ref="U206" si="193">IF(T206&gt;100%,100%,T206)</f>
        <v>0</v>
      </c>
      <c r="V206" s="211">
        <f t="shared" ref="V206" si="194">+U206</f>
        <v>0</v>
      </c>
      <c r="W206" s="213"/>
      <c r="X206" s="218" t="s">
        <v>204</v>
      </c>
      <c r="Y206" s="304" t="str">
        <f>+'Plan de Accion apoyo transversa'!CI165</f>
        <v>No Prog ni Ejec</v>
      </c>
      <c r="Z206" s="212" t="s">
        <v>204</v>
      </c>
      <c r="AA206" s="217">
        <f>+'Plan de Accion apoyo transversa'!BR165</f>
        <v>0</v>
      </c>
      <c r="AB206" s="217">
        <f t="shared" ref="AB206" si="195">IF(AA206&gt;100%,100%,AA206)</f>
        <v>0</v>
      </c>
      <c r="AC206" s="216">
        <f t="shared" ref="AC206" si="196">+AB206</f>
        <v>0</v>
      </c>
      <c r="AD206" s="213"/>
      <c r="AE206" s="219" t="s">
        <v>204</v>
      </c>
      <c r="AF206" s="304" t="str">
        <f>+'Plan de Accion apoyo transversa'!CK165</f>
        <v>No Prog ni Ejec</v>
      </c>
      <c r="AG206" s="212" t="s">
        <v>204</v>
      </c>
      <c r="AH206" s="673">
        <f>+'Plan de Accion apoyo transversa'!CB165</f>
        <v>0</v>
      </c>
      <c r="AI206" s="211">
        <f t="shared" ref="AI206" si="197">IF(AH206&gt;100%,100%,AH206)</f>
        <v>0</v>
      </c>
      <c r="AJ206" s="230"/>
      <c r="AK206" s="1167"/>
      <c r="AL206" s="207"/>
      <c r="AM206" s="207"/>
      <c r="AN206" s="204"/>
      <c r="AO206" s="208"/>
      <c r="AP206" s="207"/>
      <c r="AQ206" s="204"/>
      <c r="AR206" s="207"/>
      <c r="AS206" s="207"/>
      <c r="AT206" s="204"/>
      <c r="AU206" s="207"/>
      <c r="AV206" s="207"/>
      <c r="AW206" s="202"/>
      <c r="AX206" s="229"/>
      <c r="AY206" s="235"/>
      <c r="AZ206" s="207"/>
      <c r="BA206" s="207"/>
      <c r="BB206" s="204"/>
      <c r="BC206" s="208"/>
      <c r="BD206" s="207"/>
      <c r="BE206" s="204"/>
      <c r="BF206" s="207"/>
      <c r="BG206" s="207"/>
      <c r="BH206" s="204"/>
      <c r="BI206" s="207"/>
      <c r="BJ206" s="207"/>
      <c r="BK206" s="202"/>
      <c r="BL206" s="229"/>
      <c r="BN206" s="207"/>
      <c r="BO206" s="207"/>
      <c r="BP206" s="204"/>
      <c r="BQ206" s="208"/>
      <c r="BR206" s="207"/>
      <c r="BS206" s="204"/>
      <c r="BT206" s="207"/>
      <c r="BU206" s="207"/>
      <c r="BV206" s="204"/>
      <c r="BW206" s="207"/>
      <c r="BX206" s="207"/>
      <c r="BY206" s="202"/>
      <c r="BZ206" s="229"/>
      <c r="CB206" s="207"/>
      <c r="CC206" s="207"/>
      <c r="CD206" s="204"/>
      <c r="CE206" s="208"/>
      <c r="CF206" s="207"/>
      <c r="CG206" s="204"/>
      <c r="CH206" s="207"/>
      <c r="CI206" s="207"/>
      <c r="CJ206" s="204"/>
      <c r="CK206" s="207"/>
      <c r="CL206" s="207"/>
      <c r="CM206" s="202"/>
      <c r="CN206" s="229"/>
    </row>
    <row r="207" spans="2:92" ht="57.75" customHeight="1" thickBot="1" x14ac:dyDescent="0.3">
      <c r="B207" s="1590"/>
      <c r="C207" s="1474"/>
      <c r="D207" s="543" t="s">
        <v>204</v>
      </c>
      <c r="E207" s="1591"/>
      <c r="F207" s="1591"/>
      <c r="G207" s="549" t="str">
        <f>+'Plan de Accion apoyo transversa'!X187</f>
        <v>Formulario FURPEN mejorado</v>
      </c>
      <c r="H207" s="224" t="str">
        <f>+'Plan de Accion apoyo transversa'!AK187</f>
        <v># Formularios FURPEN mejorados</v>
      </c>
      <c r="I207" s="236"/>
      <c r="J207" s="218">
        <f>+'Plan de Accion apoyo transversa'!AT187</f>
        <v>0</v>
      </c>
      <c r="K207" s="544" t="str">
        <f>+'Plan de Accion apoyo transversa'!CE187</f>
        <v>No Prog ni Ejec</v>
      </c>
      <c r="L207" s="544" t="s">
        <v>204</v>
      </c>
      <c r="M207" s="544">
        <f>+'Plan de Accion apoyo transversa'!AX187</f>
        <v>0</v>
      </c>
      <c r="N207" s="544">
        <f t="shared" ref="N207" si="198">IF(M207&gt;100%,100%,M207)</f>
        <v>0</v>
      </c>
      <c r="O207" s="546" t="s">
        <v>204</v>
      </c>
      <c r="P207" s="213"/>
      <c r="Q207" s="439">
        <f>+'Plan de Accion apoyo transversa'!BD187</f>
        <v>0</v>
      </c>
      <c r="R207" s="649" t="str">
        <f>+'Plan de Accion apoyo transversa'!CG187</f>
        <v>No Prog ni Ejec</v>
      </c>
      <c r="S207" s="440" t="s">
        <v>204</v>
      </c>
      <c r="T207" s="649">
        <f>+'Plan de Accion apoyo transversa'!BH187</f>
        <v>0</v>
      </c>
      <c r="U207" s="649">
        <f t="shared" ref="U207" si="199">IF(T207&gt;100%,100%,T207)</f>
        <v>0</v>
      </c>
      <c r="V207" s="442" t="s">
        <v>204</v>
      </c>
      <c r="W207" s="213"/>
      <c r="X207" s="218">
        <f>+'Plan de Accion apoyo transversa'!BN187</f>
        <v>0</v>
      </c>
      <c r="Y207" s="544" t="str">
        <f>+'Plan de Accion apoyo transversa'!CI187</f>
        <v>No Prog ni Ejec</v>
      </c>
      <c r="Z207" s="212" t="s">
        <v>204</v>
      </c>
      <c r="AA207" s="217">
        <f>+'Plan de Accion apoyo transversa'!BR187</f>
        <v>0</v>
      </c>
      <c r="AB207" s="217">
        <f t="shared" ref="AB207" si="200">IF(AA207&gt;100%,100%,AA207)</f>
        <v>0</v>
      </c>
      <c r="AC207" s="216" t="s">
        <v>204</v>
      </c>
      <c r="AD207" s="213"/>
      <c r="AE207" s="219">
        <f>+'Plan de Accion apoyo transversa'!BX187</f>
        <v>0</v>
      </c>
      <c r="AF207" s="1042" t="str">
        <f>+'Plan de Accion apoyo transversa'!CK166</f>
        <v>No Prog ni Ejec</v>
      </c>
      <c r="AG207" s="212" t="s">
        <v>204</v>
      </c>
      <c r="AH207" s="544">
        <f>+'Plan de Accion apoyo transversa'!CB187</f>
        <v>0</v>
      </c>
      <c r="AI207" s="211" t="s">
        <v>204</v>
      </c>
      <c r="AJ207" s="560"/>
      <c r="AK207" s="1167"/>
      <c r="AL207" s="554"/>
      <c r="AM207" s="234"/>
      <c r="AN207" s="204"/>
      <c r="AO207" s="554"/>
      <c r="AP207" s="234"/>
      <c r="AQ207" s="204"/>
      <c r="AR207" s="554"/>
      <c r="AS207" s="234"/>
      <c r="AT207" s="204"/>
      <c r="AU207" s="554"/>
      <c r="AV207" s="234"/>
      <c r="AW207" s="202"/>
      <c r="AX207" s="560"/>
      <c r="AY207" s="235"/>
      <c r="AZ207" s="554"/>
      <c r="BA207" s="234"/>
      <c r="BB207" s="204"/>
      <c r="BC207" s="554"/>
      <c r="BD207" s="234"/>
      <c r="BE207" s="204"/>
      <c r="BF207" s="554"/>
      <c r="BG207" s="234"/>
      <c r="BH207" s="204"/>
      <c r="BI207" s="554"/>
      <c r="BJ207" s="234"/>
      <c r="BK207" s="202"/>
      <c r="BL207" s="560"/>
      <c r="BN207" s="554"/>
      <c r="BO207" s="234"/>
      <c r="BP207" s="204"/>
      <c r="BQ207" s="554"/>
      <c r="BR207" s="234"/>
      <c r="BS207" s="204"/>
      <c r="BT207" s="554"/>
      <c r="BU207" s="234"/>
      <c r="BV207" s="204"/>
      <c r="BW207" s="554"/>
      <c r="BX207" s="234"/>
      <c r="BY207" s="202"/>
      <c r="BZ207" s="560"/>
      <c r="CB207" s="554"/>
      <c r="CC207" s="234"/>
      <c r="CD207" s="204"/>
      <c r="CE207" s="554"/>
      <c r="CF207" s="234"/>
      <c r="CG207" s="204"/>
      <c r="CH207" s="554"/>
      <c r="CI207" s="234"/>
      <c r="CJ207" s="204"/>
      <c r="CK207" s="554"/>
      <c r="CL207" s="234"/>
      <c r="CM207" s="202"/>
      <c r="CN207" s="560"/>
    </row>
    <row r="208" spans="2:92" ht="20.25" thickBot="1" x14ac:dyDescent="0.3">
      <c r="B208" s="1463" t="s">
        <v>216</v>
      </c>
      <c r="C208" s="1464"/>
      <c r="D208" s="1574"/>
      <c r="E208" s="1465"/>
      <c r="F208" s="1466"/>
      <c r="G208" s="1466"/>
      <c r="H208" s="1467"/>
      <c r="J208" s="197" t="s">
        <v>204</v>
      </c>
      <c r="K208" s="196">
        <f>AVERAGE(K134,K139:K207)</f>
        <v>0.92512577569127219</v>
      </c>
      <c r="L208" s="196">
        <f t="shared" si="192"/>
        <v>0.92512577569127219</v>
      </c>
      <c r="M208" s="196">
        <f>AVERAGE(M134,M139:M207)</f>
        <v>0.22607125785228227</v>
      </c>
      <c r="N208" s="196">
        <f>IF(M208&gt;25%,25%,M208)</f>
        <v>0.22607125785228227</v>
      </c>
      <c r="O208" s="199">
        <f>AVERAGE(O134,O139:O207)</f>
        <v>0.34173562233484528</v>
      </c>
      <c r="P208" s="198"/>
      <c r="Q208" s="197" t="s">
        <v>204</v>
      </c>
      <c r="R208" s="200">
        <f>AVERAGE(R134:R190,R192:R207)</f>
        <v>1.0169931494940168</v>
      </c>
      <c r="S208" s="196">
        <f>IF(R208&gt;100%,100%,R208)</f>
        <v>1</v>
      </c>
      <c r="T208" s="196">
        <f>AVERAGE(T134:T190,T192:T207)</f>
        <v>0.37666356708557297</v>
      </c>
      <c r="U208" s="196">
        <f>IF(T208&gt;50%,50%,T208)</f>
        <v>0.37666356708557297</v>
      </c>
      <c r="V208" s="778">
        <f>AVERAGE(V134:V207)</f>
        <v>0.50472917989466781</v>
      </c>
      <c r="W208" s="198"/>
      <c r="X208" s="197" t="s">
        <v>204</v>
      </c>
      <c r="Y208" s="200">
        <f>AVERAGE(Y134:Y190,Y192:Y207)</f>
        <v>0.93864889395612183</v>
      </c>
      <c r="Z208" s="196">
        <f>IF(Y208&gt;100%,100%,Y208)</f>
        <v>0.93864889395612183</v>
      </c>
      <c r="AA208" s="974">
        <f>AVERAGE(AA134:AA190,AA192:AA207)</f>
        <v>0.61232536817094874</v>
      </c>
      <c r="AB208" s="974">
        <f>IF(AA208&gt;75%,75%,AA208)</f>
        <v>0.61232536817094874</v>
      </c>
      <c r="AC208" s="975">
        <f>AVERAGE(AC134:AC207)</f>
        <v>0.68829038984384572</v>
      </c>
      <c r="AD208" s="198"/>
      <c r="AE208" s="197" t="s">
        <v>204</v>
      </c>
      <c r="AF208" s="200">
        <f>AVERAGE(AF134:AF207)</f>
        <v>0.9744009829769904</v>
      </c>
      <c r="AG208" s="196">
        <f>IF(AF208&gt;100%,100%,AF208)</f>
        <v>0.9744009829769904</v>
      </c>
      <c r="AH208" s="200">
        <f>AVERAGE(AH134:AH135,AH137:AH207)</f>
        <v>0.86637855676733466</v>
      </c>
      <c r="AI208" s="199">
        <f>AVERAGE(AI134:AI207)</f>
        <v>0.87280135542123183</v>
      </c>
      <c r="AL208" s="193"/>
      <c r="AM208" s="192"/>
      <c r="AN208" s="194"/>
      <c r="AO208" s="193"/>
      <c r="AP208" s="192"/>
      <c r="AQ208" s="194"/>
      <c r="AR208" s="193"/>
      <c r="AS208" s="192"/>
      <c r="AT208" s="194"/>
      <c r="AU208" s="193"/>
      <c r="AV208" s="192"/>
      <c r="AZ208" s="193"/>
      <c r="BA208" s="192"/>
      <c r="BB208" s="194"/>
      <c r="BC208" s="193"/>
      <c r="BD208" s="192"/>
      <c r="BE208" s="194"/>
      <c r="BF208" s="193"/>
      <c r="BG208" s="192"/>
      <c r="BH208" s="194"/>
      <c r="BI208" s="193"/>
      <c r="BJ208" s="192"/>
      <c r="BN208" s="193"/>
      <c r="BO208" s="192"/>
      <c r="BP208" s="194"/>
      <c r="BQ208" s="193"/>
      <c r="BR208" s="192"/>
      <c r="BS208" s="194"/>
      <c r="BT208" s="193"/>
      <c r="BU208" s="192"/>
      <c r="BV208" s="194"/>
      <c r="BW208" s="193"/>
      <c r="BX208" s="192"/>
      <c r="CB208" s="193"/>
      <c r="CC208" s="192"/>
      <c r="CD208" s="194"/>
      <c r="CE208" s="193"/>
      <c r="CF208" s="192"/>
      <c r="CG208" s="194"/>
      <c r="CH208" s="193"/>
      <c r="CI208" s="192"/>
      <c r="CJ208" s="194"/>
      <c r="CK208" s="193"/>
      <c r="CL208" s="192"/>
    </row>
    <row r="209" spans="2:92" ht="89.25" customHeight="1" x14ac:dyDescent="0.2">
      <c r="B209" s="1468" t="s">
        <v>1155</v>
      </c>
      <c r="C209" s="1459" t="s">
        <v>1167</v>
      </c>
      <c r="D209" s="1445" t="s">
        <v>1149</v>
      </c>
      <c r="E209" s="1445" t="s">
        <v>13</v>
      </c>
      <c r="F209" s="1446" t="s">
        <v>330</v>
      </c>
      <c r="G209" s="290" t="str">
        <f>+'Plan de Accion Proyectos estrat'!K14</f>
        <v>Apoyos técnicos enviados a la OAJ en recobros y reclamaciones una vez son entregados los reportes a la DOP por la Dirección de Tecnología de la Información</v>
      </c>
      <c r="H209" s="220" t="str">
        <f>+'Plan de Accion Proyectos estrat'!X14</f>
        <v># Apoyos técnicos resueltos y entregados por la DOP a la OAJ / # apoyos técnicos entregados  a DOP por la Dirección de Tecnología, los cuales fueron solicitados por la OAJ</v>
      </c>
      <c r="J209" s="303">
        <f>+'Plan de Accion Proyectos estrat'!AG14</f>
        <v>0.25</v>
      </c>
      <c r="K209" s="476">
        <f>+'Plan de Accion Proyectos estrat'!AI14</f>
        <v>1</v>
      </c>
      <c r="L209" s="476">
        <f t="shared" si="192"/>
        <v>1</v>
      </c>
      <c r="M209" s="476">
        <f>+'Plan de Accion Proyectos estrat'!AK14</f>
        <v>0.25</v>
      </c>
      <c r="N209" s="476">
        <f t="shared" si="117"/>
        <v>0.25</v>
      </c>
      <c r="O209" s="478">
        <f>+N209</f>
        <v>0.25</v>
      </c>
      <c r="P209" s="213"/>
      <c r="Q209" s="303">
        <f>+'Plan de Accion Proyectos estrat'!AQ14</f>
        <v>0.25</v>
      </c>
      <c r="R209" s="304">
        <f>+'Plan de Accion Proyectos estrat'!AS14</f>
        <v>1</v>
      </c>
      <c r="S209" s="212">
        <f t="shared" ref="S209:S215" si="201">IF(R209&gt;100%,100%,R209)</f>
        <v>1</v>
      </c>
      <c r="T209" s="304">
        <f>+'Plan de Accion Proyectos estrat'!AU14</f>
        <v>0.5</v>
      </c>
      <c r="U209" s="304">
        <f t="shared" ref="U209:U215" si="202">IF(T209&gt;100%,100%,T209)</f>
        <v>0.5</v>
      </c>
      <c r="V209" s="211">
        <f t="shared" ref="V209:V215" si="203">+U209</f>
        <v>0.5</v>
      </c>
      <c r="W209" s="213"/>
      <c r="X209" s="303">
        <f>+'Plan de Accion Proyectos estrat'!BA14</f>
        <v>0.25</v>
      </c>
      <c r="Y209" s="304">
        <f>+'Plan de Accion Proyectos estrat'!BC14</f>
        <v>1</v>
      </c>
      <c r="Z209" s="212">
        <f t="shared" ref="Z209:Z214" si="204">IF(Y209&gt;100%,100%,Y209)</f>
        <v>1</v>
      </c>
      <c r="AA209" s="217">
        <f>+'Plan de Accion Proyectos estrat'!BE14</f>
        <v>0.75</v>
      </c>
      <c r="AB209" s="217">
        <f t="shared" ref="AB209:AB215" si="205">IF(AA209&gt;100%,100%,AA209)</f>
        <v>0.75</v>
      </c>
      <c r="AC209" s="216">
        <f t="shared" ref="AC209:AC214" si="206">+AB209</f>
        <v>0.75</v>
      </c>
      <c r="AD209" s="213"/>
      <c r="AE209" s="303">
        <f>+'Plan de Accion Proyectos estrat'!BK14</f>
        <v>0.25</v>
      </c>
      <c r="AF209" s="304">
        <f>+'Plan de Accion Proyectos estrat'!BM14</f>
        <v>1</v>
      </c>
      <c r="AG209" s="212">
        <f t="shared" ref="AG209:AG215" si="207">IF(AF209&gt;100%,100%,AF209)</f>
        <v>1</v>
      </c>
      <c r="AH209" s="304">
        <f>+'Plan de Accion Proyectos estrat'!BO14</f>
        <v>1</v>
      </c>
      <c r="AI209" s="211">
        <f t="shared" ref="AI209:AI215" si="208">IF(AH209&gt;100%,100%,AH209)</f>
        <v>1</v>
      </c>
      <c r="AJ209" s="1505"/>
      <c r="AL209" s="1503"/>
      <c r="AM209" s="1499"/>
      <c r="AN209" s="204"/>
      <c r="AO209" s="1500"/>
      <c r="AP209" s="1499"/>
      <c r="AQ209" s="204"/>
      <c r="AR209" s="1499"/>
      <c r="AS209" s="1499"/>
      <c r="AT209" s="204"/>
      <c r="AU209" s="1499"/>
      <c r="AV209" s="1499"/>
      <c r="AW209" s="202"/>
      <c r="AX209" s="1506"/>
      <c r="AZ209" s="1503"/>
      <c r="BA209" s="1499"/>
      <c r="BB209" s="204"/>
      <c r="BC209" s="1500"/>
      <c r="BD209" s="1499"/>
      <c r="BE209" s="204"/>
      <c r="BF209" s="1499"/>
      <c r="BG209" s="1499"/>
      <c r="BH209" s="204"/>
      <c r="BI209" s="1499"/>
      <c r="BJ209" s="1499"/>
      <c r="BK209" s="202"/>
      <c r="BL209" s="1506"/>
      <c r="BN209" s="1503"/>
      <c r="BO209" s="1499"/>
      <c r="BP209" s="204"/>
      <c r="BQ209" s="1500"/>
      <c r="BR209" s="1499"/>
      <c r="BS209" s="204"/>
      <c r="BT209" s="1499"/>
      <c r="BU209" s="1499"/>
      <c r="BV209" s="204"/>
      <c r="BW209" s="1499"/>
      <c r="BX209" s="1499"/>
      <c r="BY209" s="202"/>
      <c r="BZ209" s="1506"/>
      <c r="CB209" s="1503"/>
      <c r="CC209" s="1499"/>
      <c r="CD209" s="204"/>
      <c r="CE209" s="1500"/>
      <c r="CF209" s="1499"/>
      <c r="CG209" s="204"/>
      <c r="CH209" s="1499"/>
      <c r="CI209" s="1499"/>
      <c r="CJ209" s="204"/>
      <c r="CK209" s="1499"/>
      <c r="CL209" s="1499"/>
      <c r="CM209" s="202"/>
      <c r="CN209" s="1506"/>
    </row>
    <row r="210" spans="2:92" ht="85.5" customHeight="1" x14ac:dyDescent="0.2">
      <c r="B210" s="1469"/>
      <c r="C210" s="1460"/>
      <c r="D210" s="1441"/>
      <c r="E210" s="1440"/>
      <c r="F210" s="1443"/>
      <c r="G210" s="287" t="str">
        <f>+'Plan de Accion Proyectos estrat'!K15</f>
        <v>Informe de alternativas para optimizar y sistematizar el proceso de auditoria integral</v>
      </c>
      <c r="H210" s="220" t="str">
        <f>+'Plan de Accion Proyectos estrat'!X15</f>
        <v># Informes presentados en el periodo</v>
      </c>
      <c r="J210" s="218">
        <f>+'Plan de Accion Proyectos estrat'!AG15</f>
        <v>1</v>
      </c>
      <c r="K210" s="476">
        <f>+'Plan de Accion Proyectos estrat'!AI15</f>
        <v>1</v>
      </c>
      <c r="L210" s="476">
        <f t="shared" si="192"/>
        <v>1</v>
      </c>
      <c r="M210" s="476">
        <f>+'Plan de Accion Proyectos estrat'!AK15</f>
        <v>0.25</v>
      </c>
      <c r="N210" s="476">
        <f t="shared" si="117"/>
        <v>0.25</v>
      </c>
      <c r="O210" s="478">
        <f>+N210</f>
        <v>0.25</v>
      </c>
      <c r="P210" s="213"/>
      <c r="Q210" s="218">
        <f>+'Plan de Accion Proyectos estrat'!AQ15</f>
        <v>1</v>
      </c>
      <c r="R210" s="304">
        <f>+'Plan de Accion Proyectos estrat'!AS15</f>
        <v>1</v>
      </c>
      <c r="S210" s="212">
        <f t="shared" si="201"/>
        <v>1</v>
      </c>
      <c r="T210" s="304">
        <f>+'Plan de Accion Proyectos estrat'!AU15</f>
        <v>0.5</v>
      </c>
      <c r="U210" s="304">
        <f t="shared" si="202"/>
        <v>0.5</v>
      </c>
      <c r="V210" s="211">
        <f t="shared" si="203"/>
        <v>0.5</v>
      </c>
      <c r="W210" s="213"/>
      <c r="X210" s="218">
        <f>+'Plan de Accion Proyectos estrat'!BA15</f>
        <v>1</v>
      </c>
      <c r="Y210" s="304">
        <f>+'Plan de Accion Proyectos estrat'!BC15</f>
        <v>1</v>
      </c>
      <c r="Z210" s="212">
        <f t="shared" si="204"/>
        <v>1</v>
      </c>
      <c r="AA210" s="217">
        <f>+'Plan de Accion Proyectos estrat'!BE15</f>
        <v>0.75</v>
      </c>
      <c r="AB210" s="217">
        <f t="shared" si="205"/>
        <v>0.75</v>
      </c>
      <c r="AC210" s="216">
        <f t="shared" si="206"/>
        <v>0.75</v>
      </c>
      <c r="AD210" s="213"/>
      <c r="AE210" s="219">
        <f>+'Plan de Accion Proyectos estrat'!BK15</f>
        <v>1</v>
      </c>
      <c r="AF210" s="304">
        <f>+'Plan de Accion Proyectos estrat'!BM15</f>
        <v>1</v>
      </c>
      <c r="AG210" s="212">
        <f t="shared" si="207"/>
        <v>1</v>
      </c>
      <c r="AH210" s="304">
        <f>+'Plan de Accion Proyectos estrat'!BO15</f>
        <v>1</v>
      </c>
      <c r="AI210" s="211">
        <f t="shared" si="208"/>
        <v>1</v>
      </c>
      <c r="AJ210" s="1482"/>
      <c r="AL210" s="1504"/>
      <c r="AM210" s="1488"/>
      <c r="AN210" s="204"/>
      <c r="AO210" s="1501"/>
      <c r="AP210" s="1488"/>
      <c r="AQ210" s="204"/>
      <c r="AR210" s="1488"/>
      <c r="AS210" s="1488"/>
      <c r="AT210" s="204"/>
      <c r="AU210" s="1488"/>
      <c r="AV210" s="1488"/>
      <c r="AW210" s="202"/>
      <c r="AX210" s="1507"/>
      <c r="AZ210" s="1504"/>
      <c r="BA210" s="1488"/>
      <c r="BB210" s="204"/>
      <c r="BC210" s="1501"/>
      <c r="BD210" s="1488"/>
      <c r="BE210" s="204"/>
      <c r="BF210" s="1488"/>
      <c r="BG210" s="1488"/>
      <c r="BH210" s="204"/>
      <c r="BI210" s="1488"/>
      <c r="BJ210" s="1488"/>
      <c r="BK210" s="202"/>
      <c r="BL210" s="1507"/>
      <c r="BN210" s="1504"/>
      <c r="BO210" s="1488"/>
      <c r="BP210" s="204"/>
      <c r="BQ210" s="1501"/>
      <c r="BR210" s="1488"/>
      <c r="BS210" s="204"/>
      <c r="BT210" s="1488"/>
      <c r="BU210" s="1488"/>
      <c r="BV210" s="204"/>
      <c r="BW210" s="1488"/>
      <c r="BX210" s="1488"/>
      <c r="BY210" s="202"/>
      <c r="BZ210" s="1507"/>
      <c r="CB210" s="1504"/>
      <c r="CC210" s="1488"/>
      <c r="CD210" s="204"/>
      <c r="CE210" s="1501"/>
      <c r="CF210" s="1488"/>
      <c r="CG210" s="204"/>
      <c r="CH210" s="1488"/>
      <c r="CI210" s="1488"/>
      <c r="CJ210" s="204"/>
      <c r="CK210" s="1488"/>
      <c r="CL210" s="1488"/>
      <c r="CM210" s="202"/>
      <c r="CN210" s="1507"/>
    </row>
    <row r="211" spans="2:92" ht="156.75" x14ac:dyDescent="0.2">
      <c r="B211" s="1469"/>
      <c r="C211" s="336" t="s">
        <v>1168</v>
      </c>
      <c r="D211" s="308" t="s">
        <v>1170</v>
      </c>
      <c r="E211" s="315" t="s">
        <v>230</v>
      </c>
      <c r="F211" s="300" t="s">
        <v>330</v>
      </c>
      <c r="G211" s="315" t="str">
        <f>+'Plan de Accion Proyectos estrat'!K25</f>
        <v>Apoyo en soporte, desarrollo y mantenimiento e integración de aplicativos misionales</v>
      </c>
      <c r="H211" s="220" t="str">
        <f>+'Plan de Accion Proyectos estrat'!X25</f>
        <v xml:space="preserve"># Requerimientos de aplicaciones misionales atendidos en términos de ANS para el trimestre/ # Requerimientos de aplicaciones misionales programados para el trimestre conforme al ANS 
</v>
      </c>
      <c r="J211" s="303">
        <f>+'Plan de Accion Proyectos estrat'!AG25</f>
        <v>0.24837239583333334</v>
      </c>
      <c r="K211" s="476">
        <f>+'Plan de Accion Proyectos estrat'!AI25</f>
        <v>0.99348958333333337</v>
      </c>
      <c r="L211" s="476">
        <f t="shared" si="192"/>
        <v>0.99348958333333337</v>
      </c>
      <c r="M211" s="476">
        <f>+'Plan de Accion Proyectos estrat'!AK25</f>
        <v>0.24837239583333334</v>
      </c>
      <c r="N211" s="476">
        <f t="shared" si="117"/>
        <v>0.24837239583333334</v>
      </c>
      <c r="O211" s="478">
        <f>+N211</f>
        <v>0.24837239583333334</v>
      </c>
      <c r="P211" s="213"/>
      <c r="Q211" s="303">
        <f>+'Plan de Accion Proyectos estrat'!AQ25</f>
        <v>0.2494911804613297</v>
      </c>
      <c r="R211" s="304">
        <f>+'Plan de Accion Proyectos estrat'!AS25</f>
        <v>0.99796472184531881</v>
      </c>
      <c r="S211" s="212">
        <f t="shared" si="201"/>
        <v>0.99796472184531881</v>
      </c>
      <c r="T211" s="304">
        <f>+'Plan de Accion Proyectos estrat'!AU25</f>
        <v>0.49786357629466305</v>
      </c>
      <c r="U211" s="304">
        <f t="shared" si="202"/>
        <v>0.49786357629466305</v>
      </c>
      <c r="V211" s="211">
        <f t="shared" si="203"/>
        <v>0.49786357629466305</v>
      </c>
      <c r="W211" s="213"/>
      <c r="X211" s="303">
        <f>+'Plan de Accion Proyectos estrat'!BA25</f>
        <v>0.19372852233676977</v>
      </c>
      <c r="Y211" s="304">
        <f>+'Plan de Accion Proyectos estrat'!BC25</f>
        <v>0.77491408934707906</v>
      </c>
      <c r="Z211" s="212">
        <f t="shared" si="204"/>
        <v>0.77491408934707906</v>
      </c>
      <c r="AA211" s="217">
        <f>+'Plan de Accion Proyectos estrat'!BE25</f>
        <v>0.69159209863143278</v>
      </c>
      <c r="AB211" s="217">
        <f t="shared" si="205"/>
        <v>0.69159209863143278</v>
      </c>
      <c r="AC211" s="216">
        <f t="shared" si="206"/>
        <v>0.69159209863143278</v>
      </c>
      <c r="AD211" s="213"/>
      <c r="AE211" s="303">
        <f>+'Plan de Accion Proyectos estrat'!BK25</f>
        <v>0.18500919681177191</v>
      </c>
      <c r="AF211" s="304">
        <f>+'Plan de Accion Proyectos estrat'!BM25</f>
        <v>0.74003678724708766</v>
      </c>
      <c r="AG211" s="212">
        <f t="shared" si="207"/>
        <v>0.74003678724708766</v>
      </c>
      <c r="AH211" s="304">
        <f>+'Plan de Accion Proyectos estrat'!BO25</f>
        <v>0.87660129544320475</v>
      </c>
      <c r="AI211" s="211">
        <f t="shared" si="208"/>
        <v>0.87660129544320475</v>
      </c>
      <c r="AJ211" s="1482"/>
      <c r="AL211" s="1504"/>
      <c r="AM211" s="1488"/>
      <c r="AN211" s="204"/>
      <c r="AO211" s="1501"/>
      <c r="AP211" s="1488"/>
      <c r="AQ211" s="204"/>
      <c r="AR211" s="1488"/>
      <c r="AS211" s="1488"/>
      <c r="AT211" s="204"/>
      <c r="AU211" s="1488"/>
      <c r="AV211" s="1488"/>
      <c r="AW211" s="202"/>
      <c r="AX211" s="1507"/>
      <c r="AZ211" s="1504"/>
      <c r="BA211" s="1488"/>
      <c r="BB211" s="204"/>
      <c r="BC211" s="1501"/>
      <c r="BD211" s="1488"/>
      <c r="BE211" s="204"/>
      <c r="BF211" s="1488"/>
      <c r="BG211" s="1488"/>
      <c r="BH211" s="204"/>
      <c r="BI211" s="1488"/>
      <c r="BJ211" s="1488"/>
      <c r="BK211" s="202"/>
      <c r="BL211" s="1507"/>
      <c r="BN211" s="1504"/>
      <c r="BO211" s="1488"/>
      <c r="BP211" s="204"/>
      <c r="BQ211" s="1501"/>
      <c r="BR211" s="1488"/>
      <c r="BS211" s="204"/>
      <c r="BT211" s="1488"/>
      <c r="BU211" s="1488"/>
      <c r="BV211" s="204"/>
      <c r="BW211" s="1488"/>
      <c r="BX211" s="1488"/>
      <c r="BY211" s="202"/>
      <c r="BZ211" s="1507"/>
      <c r="CB211" s="1504"/>
      <c r="CC211" s="1488"/>
      <c r="CD211" s="204"/>
      <c r="CE211" s="1501"/>
      <c r="CF211" s="1488"/>
      <c r="CG211" s="204"/>
      <c r="CH211" s="1488"/>
      <c r="CI211" s="1488"/>
      <c r="CJ211" s="204"/>
      <c r="CK211" s="1488"/>
      <c r="CL211" s="1488"/>
      <c r="CM211" s="202"/>
      <c r="CN211" s="1507"/>
    </row>
    <row r="212" spans="2:92" ht="57" customHeight="1" x14ac:dyDescent="0.2">
      <c r="B212" s="1469"/>
      <c r="C212" s="1478" t="s">
        <v>344</v>
      </c>
      <c r="D212" s="1545" t="s">
        <v>340</v>
      </c>
      <c r="E212" s="1439" t="s">
        <v>12</v>
      </c>
      <c r="F212" s="1442" t="s">
        <v>330</v>
      </c>
      <c r="G212" s="315" t="str">
        <f>+'Plan de Accion Proyectos estrat'!K27</f>
        <v>Procesos optimizados mediante desarrollos o ajustes tecnológicos</v>
      </c>
      <c r="H212" s="220" t="str">
        <f>+'Plan de Accion Proyectos estrat'!X27</f>
        <v># Procesos optimizados</v>
      </c>
      <c r="J212" s="218">
        <f>+'Plan de Accion Proyectos estrat'!AG27</f>
        <v>0</v>
      </c>
      <c r="K212" s="476">
        <v>0</v>
      </c>
      <c r="L212" s="476">
        <f t="shared" si="192"/>
        <v>0</v>
      </c>
      <c r="M212" s="476">
        <f>+'Plan de Accion Proyectos estrat'!AK27</f>
        <v>0</v>
      </c>
      <c r="N212" s="476">
        <f t="shared" si="117"/>
        <v>0</v>
      </c>
      <c r="O212" s="478">
        <f>+N212</f>
        <v>0</v>
      </c>
      <c r="P212" s="213"/>
      <c r="Q212" s="218">
        <f>+'Plan de Accion Proyectos estrat'!AQ27</f>
        <v>0</v>
      </c>
      <c r="R212" s="304" t="s">
        <v>180</v>
      </c>
      <c r="S212" s="212" t="s">
        <v>204</v>
      </c>
      <c r="T212" s="304">
        <f>+'Plan de Accion Proyectos estrat'!AU27</f>
        <v>0</v>
      </c>
      <c r="U212" s="304">
        <f t="shared" si="202"/>
        <v>0</v>
      </c>
      <c r="V212" s="211">
        <f t="shared" si="203"/>
        <v>0</v>
      </c>
      <c r="W212" s="213"/>
      <c r="X212" s="218">
        <f>+'Plan de Accion Proyectos estrat'!BA27</f>
        <v>0</v>
      </c>
      <c r="Y212" s="304" t="s">
        <v>180</v>
      </c>
      <c r="Z212" s="212" t="s">
        <v>204</v>
      </c>
      <c r="AA212" s="217">
        <f>+'Plan de Accion Proyectos estrat'!BE27</f>
        <v>0</v>
      </c>
      <c r="AB212" s="217">
        <f t="shared" si="205"/>
        <v>0</v>
      </c>
      <c r="AC212" s="216">
        <f t="shared" si="206"/>
        <v>0</v>
      </c>
      <c r="AD212" s="213"/>
      <c r="AE212" s="219">
        <f>+'Plan de Accion Proyectos estrat'!BK27</f>
        <v>4</v>
      </c>
      <c r="AF212" s="304">
        <f>+'Plan de Accion Proyectos estrat'!BM27</f>
        <v>1</v>
      </c>
      <c r="AG212" s="212">
        <f t="shared" si="207"/>
        <v>1</v>
      </c>
      <c r="AH212" s="304">
        <f>+'Plan de Accion Proyectos estrat'!BO27</f>
        <v>1</v>
      </c>
      <c r="AI212" s="211">
        <f t="shared" si="208"/>
        <v>1</v>
      </c>
      <c r="AJ212" s="1482"/>
      <c r="AL212" s="1504"/>
      <c r="AM212" s="1488"/>
      <c r="AN212" s="204"/>
      <c r="AO212" s="1501"/>
      <c r="AP212" s="1488"/>
      <c r="AQ212" s="204"/>
      <c r="AR212" s="1488"/>
      <c r="AS212" s="1488"/>
      <c r="AT212" s="204"/>
      <c r="AU212" s="1488"/>
      <c r="AV212" s="1488"/>
      <c r="AW212" s="202"/>
      <c r="AX212" s="1507"/>
      <c r="AZ212" s="1504"/>
      <c r="BA212" s="1488"/>
      <c r="BB212" s="204"/>
      <c r="BC212" s="1501"/>
      <c r="BD212" s="1488"/>
      <c r="BE212" s="204"/>
      <c r="BF212" s="1488"/>
      <c r="BG212" s="1488"/>
      <c r="BH212" s="204"/>
      <c r="BI212" s="1488"/>
      <c r="BJ212" s="1488"/>
      <c r="BK212" s="202"/>
      <c r="BL212" s="1507"/>
      <c r="BN212" s="1504"/>
      <c r="BO212" s="1488"/>
      <c r="BP212" s="204"/>
      <c r="BQ212" s="1501"/>
      <c r="BR212" s="1488"/>
      <c r="BS212" s="204"/>
      <c r="BT212" s="1488"/>
      <c r="BU212" s="1488"/>
      <c r="BV212" s="204"/>
      <c r="BW212" s="1488"/>
      <c r="BX212" s="1488"/>
      <c r="BY212" s="202"/>
      <c r="BZ212" s="1507"/>
      <c r="CB212" s="1504"/>
      <c r="CC212" s="1488"/>
      <c r="CD212" s="204"/>
      <c r="CE212" s="1501"/>
      <c r="CF212" s="1488"/>
      <c r="CG212" s="204"/>
      <c r="CH212" s="1488"/>
      <c r="CI212" s="1488"/>
      <c r="CJ212" s="204"/>
      <c r="CK212" s="1488"/>
      <c r="CL212" s="1488"/>
      <c r="CM212" s="202"/>
      <c r="CN212" s="1507"/>
    </row>
    <row r="213" spans="2:92" ht="78.75" customHeight="1" x14ac:dyDescent="0.2">
      <c r="B213" s="1469"/>
      <c r="C213" s="1478"/>
      <c r="D213" s="1545"/>
      <c r="E213" s="1440"/>
      <c r="F213" s="1443"/>
      <c r="G213" s="315" t="str">
        <f>+'Plan de Accion Proyectos estrat'!K28</f>
        <v>Controles de los procesos de liquidación y reconocimiento de UPC y de prestaciones económicas verificados y ajustados</v>
      </c>
      <c r="H213" s="220" t="str">
        <f>+'Plan de Accion Proyectos estrat'!X28</f>
        <v># Controles verificados y ajustados / # controles con ajuste requerido</v>
      </c>
      <c r="J213" s="303">
        <f>+'Plan de Accion Proyectos estrat'!AG28</f>
        <v>0.25</v>
      </c>
      <c r="K213" s="476">
        <f>+'Plan de Accion Proyectos estrat'!AI28</f>
        <v>1</v>
      </c>
      <c r="L213" s="476">
        <f t="shared" si="192"/>
        <v>1</v>
      </c>
      <c r="M213" s="476">
        <f>+'Plan de Accion Proyectos estrat'!AK28</f>
        <v>0.25</v>
      </c>
      <c r="N213" s="476">
        <f t="shared" si="117"/>
        <v>0.25</v>
      </c>
      <c r="O213" s="478">
        <f>+N213</f>
        <v>0.25</v>
      </c>
      <c r="P213" s="213"/>
      <c r="Q213" s="303">
        <f>+'Plan de Accion Proyectos estrat'!AQ28</f>
        <v>0.25</v>
      </c>
      <c r="R213" s="304">
        <f>+'Plan de Accion Proyectos estrat'!AS28</f>
        <v>1</v>
      </c>
      <c r="S213" s="212">
        <f t="shared" si="201"/>
        <v>1</v>
      </c>
      <c r="T213" s="304">
        <f>+'Plan de Accion Proyectos estrat'!AU28</f>
        <v>0.5</v>
      </c>
      <c r="U213" s="304">
        <f t="shared" si="202"/>
        <v>0.5</v>
      </c>
      <c r="V213" s="211">
        <f t="shared" si="203"/>
        <v>0.5</v>
      </c>
      <c r="W213" s="213"/>
      <c r="X213" s="303">
        <f>+'Plan de Accion Proyectos estrat'!BA28</f>
        <v>0.25</v>
      </c>
      <c r="Y213" s="304">
        <f>+'Plan de Accion Proyectos estrat'!BC28</f>
        <v>1</v>
      </c>
      <c r="Z213" s="212">
        <f t="shared" si="204"/>
        <v>1</v>
      </c>
      <c r="AA213" s="217">
        <f>+'Plan de Accion Proyectos estrat'!BE28</f>
        <v>0.75</v>
      </c>
      <c r="AB213" s="217">
        <f t="shared" si="205"/>
        <v>0.75</v>
      </c>
      <c r="AC213" s="216">
        <f t="shared" si="206"/>
        <v>0.75</v>
      </c>
      <c r="AD213" s="213"/>
      <c r="AE213" s="303">
        <f>+'Plan de Accion Proyectos estrat'!BK28</f>
        <v>0.25</v>
      </c>
      <c r="AF213" s="304">
        <f>+'Plan de Accion Proyectos estrat'!BM28</f>
        <v>1</v>
      </c>
      <c r="AG213" s="212">
        <f t="shared" si="207"/>
        <v>1</v>
      </c>
      <c r="AH213" s="304">
        <f>+'Plan de Accion Proyectos estrat'!BO28</f>
        <v>1</v>
      </c>
      <c r="AI213" s="211">
        <f t="shared" si="208"/>
        <v>1</v>
      </c>
      <c r="AJ213" s="1482"/>
      <c r="AL213" s="1504"/>
      <c r="AM213" s="1488"/>
      <c r="AN213" s="204"/>
      <c r="AO213" s="1501"/>
      <c r="AP213" s="1488"/>
      <c r="AQ213" s="204"/>
      <c r="AR213" s="1488"/>
      <c r="AS213" s="1488"/>
      <c r="AT213" s="204"/>
      <c r="AU213" s="1488"/>
      <c r="AV213" s="1488"/>
      <c r="AW213" s="202"/>
      <c r="AX213" s="1507"/>
      <c r="AZ213" s="1504"/>
      <c r="BA213" s="1488"/>
      <c r="BB213" s="204"/>
      <c r="BC213" s="1501"/>
      <c r="BD213" s="1488"/>
      <c r="BE213" s="204"/>
      <c r="BF213" s="1488"/>
      <c r="BG213" s="1488"/>
      <c r="BH213" s="204"/>
      <c r="BI213" s="1488"/>
      <c r="BJ213" s="1488"/>
      <c r="BK213" s="202"/>
      <c r="BL213" s="1507"/>
      <c r="BN213" s="1504"/>
      <c r="BO213" s="1488"/>
      <c r="BP213" s="204"/>
      <c r="BQ213" s="1501"/>
      <c r="BR213" s="1488"/>
      <c r="BS213" s="204"/>
      <c r="BT213" s="1488"/>
      <c r="BU213" s="1488"/>
      <c r="BV213" s="204"/>
      <c r="BW213" s="1488"/>
      <c r="BX213" s="1488"/>
      <c r="BY213" s="202"/>
      <c r="BZ213" s="1507"/>
      <c r="CB213" s="1504"/>
      <c r="CC213" s="1488"/>
      <c r="CD213" s="204"/>
      <c r="CE213" s="1501"/>
      <c r="CF213" s="1488"/>
      <c r="CG213" s="204"/>
      <c r="CH213" s="1488"/>
      <c r="CI213" s="1488"/>
      <c r="CJ213" s="204"/>
      <c r="CK213" s="1488"/>
      <c r="CL213" s="1488"/>
      <c r="CM213" s="202"/>
      <c r="CN213" s="1507"/>
    </row>
    <row r="214" spans="2:92" ht="77.25" customHeight="1" x14ac:dyDescent="0.2">
      <c r="B214" s="1469"/>
      <c r="C214" s="1478"/>
      <c r="D214" s="1545"/>
      <c r="E214" s="1441"/>
      <c r="F214" s="1444"/>
      <c r="G214" s="315" t="str">
        <f>+'Plan de Accion Proyectos estrat'!K34</f>
        <v>Informes de auditoría de los procesos de liquidación y reconocimiento de UPC de los afiliados al régimen contributivo y subsidiado</v>
      </c>
      <c r="H214" s="220" t="str">
        <f>+'Plan de Accion Proyectos estrat'!X34</f>
        <v># Informes de auditoría elaborados</v>
      </c>
      <c r="J214" s="218">
        <f>+'Plan de Accion Proyectos estrat'!AG34</f>
        <v>0</v>
      </c>
      <c r="K214" s="476" t="str">
        <f>+'Plan de Accion Proyectos estrat'!BR34</f>
        <v>No Prog ni Ejec</v>
      </c>
      <c r="L214" s="476" t="s">
        <v>204</v>
      </c>
      <c r="M214" s="476">
        <f>+'Plan de Accion Proyectos estrat'!AK34</f>
        <v>0</v>
      </c>
      <c r="N214" s="476">
        <f t="shared" si="117"/>
        <v>0</v>
      </c>
      <c r="O214" s="478" t="s">
        <v>204</v>
      </c>
      <c r="P214" s="213"/>
      <c r="Q214" s="218">
        <f>+'Plan de Accion Proyectos estrat'!AQ34</f>
        <v>2</v>
      </c>
      <c r="R214" s="304">
        <f>+'Plan de Accion Proyectos estrat'!AS34</f>
        <v>1</v>
      </c>
      <c r="S214" s="212">
        <f t="shared" si="201"/>
        <v>1</v>
      </c>
      <c r="T214" s="304">
        <f>+'Plan de Accion Proyectos estrat'!AU34</f>
        <v>0.33333333333333331</v>
      </c>
      <c r="U214" s="304">
        <f t="shared" si="202"/>
        <v>0.33333333333333331</v>
      </c>
      <c r="V214" s="211">
        <f t="shared" si="203"/>
        <v>0.33333333333333331</v>
      </c>
      <c r="W214" s="213"/>
      <c r="X214" s="218">
        <f>+'Plan de Accion Proyectos estrat'!BA34</f>
        <v>2</v>
      </c>
      <c r="Y214" s="304">
        <f>+'Plan de Accion Proyectos estrat'!BC34</f>
        <v>1</v>
      </c>
      <c r="Z214" s="212">
        <f t="shared" si="204"/>
        <v>1</v>
      </c>
      <c r="AA214" s="217">
        <f>+'Plan de Accion Proyectos estrat'!BE34</f>
        <v>0.66666666666666663</v>
      </c>
      <c r="AB214" s="217">
        <f t="shared" si="205"/>
        <v>0.66666666666666663</v>
      </c>
      <c r="AC214" s="216">
        <f t="shared" si="206"/>
        <v>0.66666666666666663</v>
      </c>
      <c r="AD214" s="213"/>
      <c r="AE214" s="219">
        <f>+'Plan de Accion Proyectos estrat'!BK34</f>
        <v>2</v>
      </c>
      <c r="AF214" s="304">
        <f>+'Plan de Accion Proyectos estrat'!BM34</f>
        <v>1</v>
      </c>
      <c r="AG214" s="212">
        <f t="shared" si="207"/>
        <v>1</v>
      </c>
      <c r="AH214" s="304">
        <f>+'Plan de Accion Proyectos estrat'!BO34</f>
        <v>1</v>
      </c>
      <c r="AI214" s="211">
        <f t="shared" si="208"/>
        <v>1</v>
      </c>
      <c r="AJ214" s="1482"/>
      <c r="AL214" s="1504"/>
      <c r="AM214" s="1488"/>
      <c r="AN214" s="204"/>
      <c r="AO214" s="1501"/>
      <c r="AP214" s="1488"/>
      <c r="AQ214" s="204"/>
      <c r="AR214" s="1488"/>
      <c r="AS214" s="1488"/>
      <c r="AT214" s="204"/>
      <c r="AU214" s="1488"/>
      <c r="AV214" s="1488"/>
      <c r="AW214" s="202"/>
      <c r="AX214" s="1507"/>
      <c r="AZ214" s="1504"/>
      <c r="BA214" s="1488"/>
      <c r="BB214" s="204"/>
      <c r="BC214" s="1501"/>
      <c r="BD214" s="1488"/>
      <c r="BE214" s="204"/>
      <c r="BF214" s="1488"/>
      <c r="BG214" s="1488"/>
      <c r="BH214" s="204"/>
      <c r="BI214" s="1488"/>
      <c r="BJ214" s="1488"/>
      <c r="BK214" s="202"/>
      <c r="BL214" s="1507"/>
      <c r="BN214" s="1504"/>
      <c r="BO214" s="1488"/>
      <c r="BP214" s="204"/>
      <c r="BQ214" s="1501"/>
      <c r="BR214" s="1488"/>
      <c r="BS214" s="204"/>
      <c r="BT214" s="1488"/>
      <c r="BU214" s="1488"/>
      <c r="BV214" s="204"/>
      <c r="BW214" s="1488"/>
      <c r="BX214" s="1488"/>
      <c r="BY214" s="202"/>
      <c r="BZ214" s="1507"/>
      <c r="CB214" s="1504"/>
      <c r="CC214" s="1488"/>
      <c r="CD214" s="204"/>
      <c r="CE214" s="1501"/>
      <c r="CF214" s="1488"/>
      <c r="CG214" s="204"/>
      <c r="CH214" s="1488"/>
      <c r="CI214" s="1488"/>
      <c r="CJ214" s="204"/>
      <c r="CK214" s="1488"/>
      <c r="CL214" s="1488"/>
      <c r="CM214" s="202"/>
      <c r="CN214" s="1507"/>
    </row>
    <row r="215" spans="2:92" ht="71.25" x14ac:dyDescent="0.2">
      <c r="B215" s="1469"/>
      <c r="C215" s="1459" t="s">
        <v>60</v>
      </c>
      <c r="D215" s="1461" t="s">
        <v>1172</v>
      </c>
      <c r="E215" s="1439" t="s">
        <v>125</v>
      </c>
      <c r="F215" s="1442" t="s">
        <v>330</v>
      </c>
      <c r="G215" s="315" t="str">
        <f>+'Plan de Accion Proyectos estrat'!K36</f>
        <v>Documentos de acercamiento con la rama judicial (Comunicaciones o actas de reuniones o actos administrativos)</v>
      </c>
      <c r="H215" s="220" t="str">
        <f>+'Plan de Accion Proyectos estrat'!X36</f>
        <v># Documentos de acercamiento con la rama judicial</v>
      </c>
      <c r="J215" s="218">
        <f>+'Plan de Accion Proyectos estrat'!AG36</f>
        <v>0</v>
      </c>
      <c r="K215" s="476" t="str">
        <f>+'Plan de Accion Proyectos estrat'!BR36</f>
        <v>No Prog ni Ejec</v>
      </c>
      <c r="L215" s="476" t="s">
        <v>204</v>
      </c>
      <c r="M215" s="476">
        <f>+'Plan de Accion Proyectos estrat'!AK36</f>
        <v>0</v>
      </c>
      <c r="N215" s="476">
        <f t="shared" si="117"/>
        <v>0</v>
      </c>
      <c r="O215" s="478" t="s">
        <v>204</v>
      </c>
      <c r="P215" s="213"/>
      <c r="Q215" s="218">
        <f>+'Plan de Accion Proyectos estrat'!AQ36</f>
        <v>0</v>
      </c>
      <c r="R215" s="304">
        <f>+'Plan de Accion Proyectos estrat'!BT36</f>
        <v>0</v>
      </c>
      <c r="S215" s="212">
        <f t="shared" si="201"/>
        <v>0</v>
      </c>
      <c r="T215" s="304">
        <f>+'Plan de Accion Proyectos estrat'!AU36</f>
        <v>0</v>
      </c>
      <c r="U215" s="304">
        <f t="shared" si="202"/>
        <v>0</v>
      </c>
      <c r="V215" s="211">
        <f t="shared" si="203"/>
        <v>0</v>
      </c>
      <c r="W215" s="213"/>
      <c r="X215" s="218">
        <f>+'Plan de Accion Proyectos estrat'!BA36</f>
        <v>0</v>
      </c>
      <c r="Y215" s="304" t="str">
        <f>+'Plan de Accion Proyectos estrat'!BV36</f>
        <v>No Prog ni Ejec</v>
      </c>
      <c r="Z215" s="212" t="s">
        <v>204</v>
      </c>
      <c r="AA215" s="217">
        <f>+'Plan de Accion Proyectos estrat'!BE36</f>
        <v>0</v>
      </c>
      <c r="AB215" s="217">
        <f t="shared" si="205"/>
        <v>0</v>
      </c>
      <c r="AC215" s="216">
        <f>+AB215</f>
        <v>0</v>
      </c>
      <c r="AD215" s="213"/>
      <c r="AE215" s="219">
        <f>+'Plan de Accion Proyectos estrat'!BK36</f>
        <v>1</v>
      </c>
      <c r="AF215" s="304">
        <f>+'Plan de Accion Proyectos estrat'!BX36</f>
        <v>1</v>
      </c>
      <c r="AG215" s="212">
        <f t="shared" si="207"/>
        <v>1</v>
      </c>
      <c r="AH215" s="304">
        <f>+'Plan de Accion Proyectos estrat'!BO36</f>
        <v>0.5</v>
      </c>
      <c r="AI215" s="211">
        <f t="shared" si="208"/>
        <v>0.5</v>
      </c>
      <c r="AJ215" s="1482"/>
      <c r="AL215" s="1504"/>
      <c r="AM215" s="1488"/>
      <c r="AN215" s="204"/>
      <c r="AO215" s="1501"/>
      <c r="AP215" s="1488"/>
      <c r="AQ215" s="204"/>
      <c r="AR215" s="1488"/>
      <c r="AS215" s="1488"/>
      <c r="AT215" s="204"/>
      <c r="AU215" s="1488"/>
      <c r="AV215" s="1488"/>
      <c r="AW215" s="202"/>
      <c r="AX215" s="1507"/>
      <c r="AZ215" s="1504"/>
      <c r="BA215" s="1488"/>
      <c r="BB215" s="204"/>
      <c r="BC215" s="1501"/>
      <c r="BD215" s="1488"/>
      <c r="BE215" s="204"/>
      <c r="BF215" s="1488"/>
      <c r="BG215" s="1488"/>
      <c r="BH215" s="204"/>
      <c r="BI215" s="1488"/>
      <c r="BJ215" s="1488"/>
      <c r="BK215" s="202"/>
      <c r="BL215" s="1507"/>
      <c r="BN215" s="1504"/>
      <c r="BO215" s="1488"/>
      <c r="BP215" s="204"/>
      <c r="BQ215" s="1501"/>
      <c r="BR215" s="1488"/>
      <c r="BS215" s="204"/>
      <c r="BT215" s="1488"/>
      <c r="BU215" s="1488"/>
      <c r="BV215" s="204"/>
      <c r="BW215" s="1488"/>
      <c r="BX215" s="1488"/>
      <c r="BY215" s="202"/>
      <c r="BZ215" s="1507"/>
      <c r="CB215" s="1504"/>
      <c r="CC215" s="1488"/>
      <c r="CD215" s="204"/>
      <c r="CE215" s="1501"/>
      <c r="CF215" s="1488"/>
      <c r="CG215" s="204"/>
      <c r="CH215" s="1488"/>
      <c r="CI215" s="1488"/>
      <c r="CJ215" s="204"/>
      <c r="CK215" s="1488"/>
      <c r="CL215" s="1488"/>
      <c r="CM215" s="202"/>
      <c r="CN215" s="1507"/>
    </row>
    <row r="216" spans="2:92" ht="57" x14ac:dyDescent="0.2">
      <c r="B216" s="1469"/>
      <c r="C216" s="1471"/>
      <c r="D216" s="1462"/>
      <c r="E216" s="1440"/>
      <c r="F216" s="1443"/>
      <c r="G216" s="315" t="str">
        <f>+'Plan de Accion Proyectos estrat'!K37</f>
        <v>Otro sí al convenio especificando las necesidades y acceso a la información</v>
      </c>
      <c r="H216" s="220" t="str">
        <f>+'Plan de Accion Proyectos estrat'!X37</f>
        <v># Otro si suscritos</v>
      </c>
      <c r="J216" s="218">
        <f>+'Plan de Accion Proyectos estrat'!AG37</f>
        <v>0</v>
      </c>
      <c r="K216" s="476" t="str">
        <f>+'Plan de Accion Proyectos estrat'!BR37</f>
        <v>No Prog ni Ejec</v>
      </c>
      <c r="L216" s="476" t="s">
        <v>204</v>
      </c>
      <c r="M216" s="476">
        <f>+'Plan de Accion Proyectos estrat'!AK37</f>
        <v>0</v>
      </c>
      <c r="N216" s="476">
        <f t="shared" si="117"/>
        <v>0</v>
      </c>
      <c r="O216" s="478" t="s">
        <v>204</v>
      </c>
      <c r="P216" s="213"/>
      <c r="Q216" s="218">
        <f>+'Plan de Accion Proyectos estrat'!AQ37</f>
        <v>0</v>
      </c>
      <c r="R216" s="304" t="str">
        <f>+'Plan de Accion Proyectos estrat'!BT37</f>
        <v>No Prog ni Ejec</v>
      </c>
      <c r="S216" s="212" t="s">
        <v>204</v>
      </c>
      <c r="T216" s="304">
        <f>+'Plan de Accion Proyectos estrat'!AU37</f>
        <v>0</v>
      </c>
      <c r="U216" s="304">
        <f t="shared" ref="U216:U223" si="209">IF(T216&gt;100%,100%,T216)</f>
        <v>0</v>
      </c>
      <c r="V216" s="211" t="s">
        <v>204</v>
      </c>
      <c r="W216" s="213"/>
      <c r="X216" s="218">
        <f>+'Plan de Accion Proyectos estrat'!BA37</f>
        <v>0</v>
      </c>
      <c r="Y216" s="304" t="str">
        <f>+'Plan de Accion Proyectos estrat'!BV37</f>
        <v>No Prog ni Ejec</v>
      </c>
      <c r="Z216" s="212" t="s">
        <v>204</v>
      </c>
      <c r="AA216" s="217">
        <f>+'Plan de Accion Proyectos estrat'!BE37</f>
        <v>0</v>
      </c>
      <c r="AB216" s="217">
        <f t="shared" ref="AB216:AB223" si="210">IF(AA216&gt;100%,100%,AA216)</f>
        <v>0</v>
      </c>
      <c r="AC216" s="216" t="s">
        <v>204</v>
      </c>
      <c r="AD216" s="213"/>
      <c r="AE216" s="219" t="str">
        <f>+'Plan de Accion Proyectos estrat'!BK37</f>
        <v>N.A</v>
      </c>
      <c r="AF216" s="304" t="s">
        <v>204</v>
      </c>
      <c r="AG216" s="212" t="s">
        <v>204</v>
      </c>
      <c r="AH216" s="304" t="s">
        <v>204</v>
      </c>
      <c r="AI216" s="211" t="s">
        <v>204</v>
      </c>
      <c r="AJ216" s="1482"/>
      <c r="AL216" s="1504"/>
      <c r="AM216" s="1488"/>
      <c r="AN216" s="204"/>
      <c r="AO216" s="1501"/>
      <c r="AP216" s="1488"/>
      <c r="AQ216" s="204"/>
      <c r="AR216" s="1488"/>
      <c r="AS216" s="1488"/>
      <c r="AT216" s="204"/>
      <c r="AU216" s="1488"/>
      <c r="AV216" s="1488"/>
      <c r="AW216" s="202"/>
      <c r="AX216" s="1507"/>
      <c r="AZ216" s="1504"/>
      <c r="BA216" s="1488"/>
      <c r="BB216" s="204"/>
      <c r="BC216" s="1501"/>
      <c r="BD216" s="1488"/>
      <c r="BE216" s="204"/>
      <c r="BF216" s="1488"/>
      <c r="BG216" s="1488"/>
      <c r="BH216" s="204"/>
      <c r="BI216" s="1488"/>
      <c r="BJ216" s="1488"/>
      <c r="BK216" s="202"/>
      <c r="BL216" s="1507"/>
      <c r="BN216" s="1504"/>
      <c r="BO216" s="1488"/>
      <c r="BP216" s="204"/>
      <c r="BQ216" s="1501"/>
      <c r="BR216" s="1488"/>
      <c r="BS216" s="204"/>
      <c r="BT216" s="1488"/>
      <c r="BU216" s="1488"/>
      <c r="BV216" s="204"/>
      <c r="BW216" s="1488"/>
      <c r="BX216" s="1488"/>
      <c r="BY216" s="202"/>
      <c r="BZ216" s="1507"/>
      <c r="CB216" s="1504"/>
      <c r="CC216" s="1488"/>
      <c r="CD216" s="204"/>
      <c r="CE216" s="1501"/>
      <c r="CF216" s="1488"/>
      <c r="CG216" s="204"/>
      <c r="CH216" s="1488"/>
      <c r="CI216" s="1488"/>
      <c r="CJ216" s="204"/>
      <c r="CK216" s="1488"/>
      <c r="CL216" s="1488"/>
      <c r="CM216" s="202"/>
      <c r="CN216" s="1507"/>
    </row>
    <row r="217" spans="2:92" ht="39.75" customHeight="1" thickBot="1" x14ac:dyDescent="0.25">
      <c r="B217" s="1469"/>
      <c r="C217" s="1460"/>
      <c r="D217" s="1472"/>
      <c r="E217" s="1441"/>
      <c r="F217" s="1444"/>
      <c r="G217" s="315" t="str">
        <f>+'Plan de Accion Proyectos estrat'!K38</f>
        <v>Convenios o contratos interadministrativos</v>
      </c>
      <c r="H217" s="220" t="str">
        <f>+'Plan de Accion Proyectos estrat'!X38</f>
        <v># Convenios o contratos interadministrativos suscritos</v>
      </c>
      <c r="J217" s="218">
        <f>+'Plan de Accion Proyectos estrat'!AG38</f>
        <v>0</v>
      </c>
      <c r="K217" s="476" t="str">
        <f>+'Plan de Accion Proyectos estrat'!BR38</f>
        <v>No Prog ni Ejec</v>
      </c>
      <c r="L217" s="476" t="s">
        <v>204</v>
      </c>
      <c r="M217" s="476">
        <f>+'Plan de Accion Proyectos estrat'!AK38</f>
        <v>0</v>
      </c>
      <c r="N217" s="476">
        <f t="shared" si="117"/>
        <v>0</v>
      </c>
      <c r="O217" s="478" t="s">
        <v>204</v>
      </c>
      <c r="P217" s="213"/>
      <c r="Q217" s="218">
        <f>+'Plan de Accion Proyectos estrat'!AQ38</f>
        <v>0</v>
      </c>
      <c r="R217" s="304" t="str">
        <f>+'Plan de Accion Proyectos estrat'!BT38</f>
        <v>No Prog ni Ejec</v>
      </c>
      <c r="S217" s="212" t="s">
        <v>204</v>
      </c>
      <c r="T217" s="304">
        <f>+'Plan de Accion Proyectos estrat'!AU38</f>
        <v>0</v>
      </c>
      <c r="U217" s="304">
        <f t="shared" si="209"/>
        <v>0</v>
      </c>
      <c r="V217" s="211" t="s">
        <v>204</v>
      </c>
      <c r="W217" s="213"/>
      <c r="X217" s="218">
        <f>+'Plan de Accion Proyectos estrat'!BA38</f>
        <v>0</v>
      </c>
      <c r="Y217" s="304" t="str">
        <f>+'Plan de Accion Proyectos estrat'!BV38</f>
        <v>No Prog ni Ejec</v>
      </c>
      <c r="Z217" s="212" t="s">
        <v>204</v>
      </c>
      <c r="AA217" s="217">
        <f>+'Plan de Accion Proyectos estrat'!BE38</f>
        <v>0</v>
      </c>
      <c r="AB217" s="217">
        <f t="shared" si="210"/>
        <v>0</v>
      </c>
      <c r="AC217" s="216" t="s">
        <v>204</v>
      </c>
      <c r="AD217" s="213"/>
      <c r="AE217" s="219">
        <f>+'Plan de Accion Proyectos estrat'!BK38</f>
        <v>1</v>
      </c>
      <c r="AF217" s="304">
        <f>+'Plan de Accion Proyectos estrat'!BX38</f>
        <v>1</v>
      </c>
      <c r="AG217" s="212">
        <f t="shared" ref="AG217:AG223" si="211">IF(AF217&gt;100%,100%,AF217)</f>
        <v>1</v>
      </c>
      <c r="AH217" s="304">
        <f>+'Plan de Accion Proyectos estrat'!BO38</f>
        <v>1</v>
      </c>
      <c r="AI217" s="211">
        <f t="shared" ref="AI217:AI224" si="212">IF(AH217&gt;100%,100%,AH217)</f>
        <v>1</v>
      </c>
      <c r="AJ217" s="1483"/>
      <c r="AL217" s="1509"/>
      <c r="AM217" s="1489"/>
      <c r="AN217" s="204"/>
      <c r="AO217" s="1502"/>
      <c r="AP217" s="1489"/>
      <c r="AQ217" s="204"/>
      <c r="AR217" s="1489"/>
      <c r="AS217" s="1489"/>
      <c r="AT217" s="204"/>
      <c r="AU217" s="1489"/>
      <c r="AV217" s="1489"/>
      <c r="AW217" s="202"/>
      <c r="AX217" s="1508"/>
      <c r="AZ217" s="1509"/>
      <c r="BA217" s="1489"/>
      <c r="BB217" s="204"/>
      <c r="BC217" s="1502"/>
      <c r="BD217" s="1489"/>
      <c r="BE217" s="204"/>
      <c r="BF217" s="1489"/>
      <c r="BG217" s="1489"/>
      <c r="BH217" s="204"/>
      <c r="BI217" s="1489"/>
      <c r="BJ217" s="1489"/>
      <c r="BK217" s="202"/>
      <c r="BL217" s="1508"/>
      <c r="BN217" s="1509"/>
      <c r="BO217" s="1489"/>
      <c r="BP217" s="204"/>
      <c r="BQ217" s="1502"/>
      <c r="BR217" s="1489"/>
      <c r="BS217" s="204"/>
      <c r="BT217" s="1489"/>
      <c r="BU217" s="1489"/>
      <c r="BV217" s="204"/>
      <c r="BW217" s="1489"/>
      <c r="BX217" s="1489"/>
      <c r="BY217" s="202"/>
      <c r="BZ217" s="1508"/>
      <c r="CB217" s="1509"/>
      <c r="CC217" s="1489"/>
      <c r="CD217" s="204"/>
      <c r="CE217" s="1502"/>
      <c r="CF217" s="1489"/>
      <c r="CG217" s="204"/>
      <c r="CH217" s="1489"/>
      <c r="CI217" s="1489"/>
      <c r="CJ217" s="204"/>
      <c r="CK217" s="1489"/>
      <c r="CL217" s="1489"/>
      <c r="CM217" s="202"/>
      <c r="CN217" s="1508"/>
    </row>
    <row r="218" spans="2:92" ht="99.75" customHeight="1" x14ac:dyDescent="0.2">
      <c r="B218" s="1469"/>
      <c r="C218" s="1478" t="s">
        <v>60</v>
      </c>
      <c r="D218" s="1544" t="s">
        <v>204</v>
      </c>
      <c r="E218" s="1439" t="s">
        <v>125</v>
      </c>
      <c r="F218" s="1442" t="s">
        <v>330</v>
      </c>
      <c r="G218" s="315" t="str">
        <f>+'Plan de Accion Misional'!K11</f>
        <v>Pagos registrados en el SII PRE Procesos de repetición</v>
      </c>
      <c r="H218" s="215" t="str">
        <f>+'Plan de Accion Misional'!X11</f>
        <v># Pagos registrados en SII PRE / # pagos conciliados</v>
      </c>
      <c r="J218" s="214">
        <f>+'Plan de Accion Misional'!AG11</f>
        <v>0</v>
      </c>
      <c r="K218" s="476" t="str">
        <f>+'Plan de Accion Misional'!BR11</f>
        <v>No Prog ni Ejec</v>
      </c>
      <c r="L218" s="476" t="s">
        <v>204</v>
      </c>
      <c r="M218" s="476">
        <f>+'Plan de Accion Misional'!AK11</f>
        <v>0</v>
      </c>
      <c r="N218" s="476">
        <f t="shared" si="117"/>
        <v>0</v>
      </c>
      <c r="O218" s="478" t="s">
        <v>204</v>
      </c>
      <c r="P218" s="213" t="s">
        <v>1173</v>
      </c>
      <c r="Q218" s="214">
        <f>+'Plan de Accion Misional'!AQ11</f>
        <v>0</v>
      </c>
      <c r="R218" s="248" t="str">
        <f>+'Plan de Accion Misional'!BT11</f>
        <v>No Prog ni Ejec</v>
      </c>
      <c r="S218" s="212" t="s">
        <v>204</v>
      </c>
      <c r="T218" s="304">
        <f>+'Plan de Accion Misional'!AU11</f>
        <v>0</v>
      </c>
      <c r="U218" s="304">
        <f t="shared" si="209"/>
        <v>0</v>
      </c>
      <c r="V218" s="211" t="s">
        <v>204</v>
      </c>
      <c r="W218" s="213"/>
      <c r="X218" s="303">
        <f>+'Plan de Accion Misional'!BA11</f>
        <v>0</v>
      </c>
      <c r="Y218" s="248" t="str">
        <f>+'Plan de Accion Misional'!BV11</f>
        <v>No Prog ni Ejec</v>
      </c>
      <c r="Z218" s="212" t="s">
        <v>204</v>
      </c>
      <c r="AA218" s="217">
        <f>+'Plan de Accion Misional'!BE11</f>
        <v>0</v>
      </c>
      <c r="AB218" s="217">
        <f t="shared" si="210"/>
        <v>0</v>
      </c>
      <c r="AC218" s="216" t="s">
        <v>204</v>
      </c>
      <c r="AD218" s="213"/>
      <c r="AE218" s="214">
        <f>+'Plan de Accion Misional'!BK11</f>
        <v>1</v>
      </c>
      <c r="AF218" s="248">
        <f>+'Plan de Accion Misional'!BX11</f>
        <v>1</v>
      </c>
      <c r="AG218" s="212">
        <f t="shared" si="211"/>
        <v>1</v>
      </c>
      <c r="AH218" s="248">
        <f>+'Plan de Accion Misional'!BO11</f>
        <v>1</v>
      </c>
      <c r="AI218" s="211">
        <f t="shared" si="212"/>
        <v>1</v>
      </c>
      <c r="AJ218" s="1482"/>
      <c r="AL218" s="1488"/>
      <c r="AM218" s="1488"/>
      <c r="AN218" s="204"/>
      <c r="AO218" s="1501"/>
      <c r="AP218" s="1488"/>
      <c r="AQ218" s="204"/>
      <c r="AR218" s="1488"/>
      <c r="AS218" s="1488"/>
      <c r="AT218" s="204"/>
      <c r="AU218" s="1488"/>
      <c r="AV218" s="1488"/>
      <c r="AW218" s="202"/>
      <c r="AX218" s="1507"/>
      <c r="AZ218" s="1488"/>
      <c r="BA218" s="1488"/>
      <c r="BB218" s="204"/>
      <c r="BC218" s="1501"/>
      <c r="BD218" s="1488"/>
      <c r="BE218" s="204"/>
      <c r="BF218" s="1488"/>
      <c r="BG218" s="1488"/>
      <c r="BH218" s="204"/>
      <c r="BI218" s="1488"/>
      <c r="BJ218" s="1488"/>
      <c r="BK218" s="202"/>
      <c r="BL218" s="1507"/>
      <c r="BN218" s="1488"/>
      <c r="BO218" s="1488"/>
      <c r="BP218" s="204"/>
      <c r="BQ218" s="1501"/>
      <c r="BR218" s="1488"/>
      <c r="BS218" s="204"/>
      <c r="BT218" s="1488"/>
      <c r="BU218" s="1488"/>
      <c r="BV218" s="204"/>
      <c r="BW218" s="1488"/>
      <c r="BX218" s="1488"/>
      <c r="BY218" s="202"/>
      <c r="BZ218" s="1507"/>
      <c r="CB218" s="1488"/>
      <c r="CC218" s="1488"/>
      <c r="CD218" s="204"/>
      <c r="CE218" s="1501"/>
      <c r="CF218" s="1488"/>
      <c r="CG218" s="204"/>
      <c r="CH218" s="1488"/>
      <c r="CI218" s="1488"/>
      <c r="CJ218" s="204"/>
      <c r="CK218" s="1488"/>
      <c r="CL218" s="1488"/>
      <c r="CM218" s="202"/>
      <c r="CN218" s="1507"/>
    </row>
    <row r="219" spans="2:92" ht="72.75" customHeight="1" x14ac:dyDescent="0.2">
      <c r="B219" s="1469"/>
      <c r="C219" s="1478"/>
      <c r="D219" s="1544"/>
      <c r="E219" s="1440"/>
      <c r="F219" s="1443"/>
      <c r="G219" s="315" t="str">
        <f>+'Plan de Accion Misional'!K12</f>
        <v>Reclamaciones depurables</v>
      </c>
      <c r="H219" s="215" t="str">
        <f>+'Plan de Accion Misional'!X12</f>
        <v># Reclamaciones depurables</v>
      </c>
      <c r="J219" s="214">
        <f>+'Plan de Accion Misional'!AG12</f>
        <v>0</v>
      </c>
      <c r="K219" s="476" t="str">
        <f>+'Plan de Accion Misional'!BR12</f>
        <v>No Prog ni Ejec</v>
      </c>
      <c r="L219" s="476" t="s">
        <v>204</v>
      </c>
      <c r="M219" s="476">
        <f>+'Plan de Accion Misional'!AK12</f>
        <v>0</v>
      </c>
      <c r="N219" s="476">
        <f t="shared" si="117"/>
        <v>0</v>
      </c>
      <c r="O219" s="478" t="s">
        <v>204</v>
      </c>
      <c r="P219" s="213"/>
      <c r="Q219" s="214">
        <f>+'Plan de Accion Misional'!AQ12</f>
        <v>0</v>
      </c>
      <c r="R219" s="248" t="str">
        <f>+'Plan de Accion Misional'!BT12</f>
        <v>No Prog ni Ejec</v>
      </c>
      <c r="S219" s="212" t="s">
        <v>204</v>
      </c>
      <c r="T219" s="304">
        <f>+'Plan de Accion Misional'!AU12</f>
        <v>0</v>
      </c>
      <c r="U219" s="304">
        <f t="shared" si="209"/>
        <v>0</v>
      </c>
      <c r="V219" s="211" t="s">
        <v>204</v>
      </c>
      <c r="W219" s="213"/>
      <c r="X219" s="214">
        <f>+'Plan de Accion Misional'!BA12</f>
        <v>0</v>
      </c>
      <c r="Y219" s="248" t="str">
        <f>+'Plan de Accion Misional'!BV12</f>
        <v>No Prog ni Ejec</v>
      </c>
      <c r="Z219" s="212" t="s">
        <v>204</v>
      </c>
      <c r="AA219" s="217">
        <f>+'Plan de Accion Misional'!BE12</f>
        <v>0</v>
      </c>
      <c r="AB219" s="217">
        <f t="shared" si="210"/>
        <v>0</v>
      </c>
      <c r="AC219" s="216" t="s">
        <v>204</v>
      </c>
      <c r="AD219" s="213"/>
      <c r="AE219" s="219">
        <f>+'Plan de Accion Misional'!BK12</f>
        <v>700</v>
      </c>
      <c r="AF219" s="248">
        <f>+'Plan de Accion Misional'!BX12</f>
        <v>1</v>
      </c>
      <c r="AG219" s="212">
        <f t="shared" si="211"/>
        <v>1</v>
      </c>
      <c r="AH219" s="248">
        <f>+'Plan de Accion Misional'!BO12</f>
        <v>1</v>
      </c>
      <c r="AI219" s="211">
        <f t="shared" si="212"/>
        <v>1</v>
      </c>
      <c r="AJ219" s="1482"/>
      <c r="AL219" s="1488"/>
      <c r="AM219" s="1488"/>
      <c r="AN219" s="204"/>
      <c r="AO219" s="1501"/>
      <c r="AP219" s="1488"/>
      <c r="AQ219" s="204"/>
      <c r="AR219" s="1488"/>
      <c r="AS219" s="1488"/>
      <c r="AT219" s="204"/>
      <c r="AU219" s="1488"/>
      <c r="AV219" s="1488"/>
      <c r="AW219" s="202"/>
      <c r="AX219" s="1507"/>
      <c r="AZ219" s="1488"/>
      <c r="BA219" s="1488"/>
      <c r="BB219" s="204"/>
      <c r="BC219" s="1501"/>
      <c r="BD219" s="1488"/>
      <c r="BE219" s="204"/>
      <c r="BF219" s="1488"/>
      <c r="BG219" s="1488"/>
      <c r="BH219" s="204"/>
      <c r="BI219" s="1488"/>
      <c r="BJ219" s="1488"/>
      <c r="BK219" s="202"/>
      <c r="BL219" s="1507"/>
      <c r="BN219" s="1488"/>
      <c r="BO219" s="1488"/>
      <c r="BP219" s="204"/>
      <c r="BQ219" s="1501"/>
      <c r="BR219" s="1488"/>
      <c r="BS219" s="204"/>
      <c r="BT219" s="1488"/>
      <c r="BU219" s="1488"/>
      <c r="BV219" s="204"/>
      <c r="BW219" s="1488"/>
      <c r="BX219" s="1488"/>
      <c r="BY219" s="202"/>
      <c r="BZ219" s="1507"/>
      <c r="CB219" s="1488"/>
      <c r="CC219" s="1488"/>
      <c r="CD219" s="204"/>
      <c r="CE219" s="1501"/>
      <c r="CF219" s="1488"/>
      <c r="CG219" s="204"/>
      <c r="CH219" s="1488"/>
      <c r="CI219" s="1488"/>
      <c r="CJ219" s="204"/>
      <c r="CK219" s="1488"/>
      <c r="CL219" s="1488"/>
      <c r="CM219" s="202"/>
      <c r="CN219" s="1507"/>
    </row>
    <row r="220" spans="2:92" ht="86.25" thickBot="1" x14ac:dyDescent="0.25">
      <c r="B220" s="1469"/>
      <c r="C220" s="1478"/>
      <c r="D220" s="1544"/>
      <c r="E220" s="1441"/>
      <c r="F220" s="1444"/>
      <c r="G220" s="315" t="str">
        <f>+'Plan de Accion Misional'!K13</f>
        <v>Bases de información actualizadas</v>
      </c>
      <c r="H220" s="215" t="str">
        <f>+'Plan de Accion Misional'!X13</f>
        <v># Actos administrativos y actuaciones actualizados en las bases de información / # expedientes entregados en reparto susceptibles de actualización</v>
      </c>
      <c r="J220" s="214">
        <f>+'Plan de Accion Misional'!AG13</f>
        <v>0.11191547642340051</v>
      </c>
      <c r="K220" s="476">
        <f>+'Plan de Accion Misional'!BR13</f>
        <v>0.44766190569360204</v>
      </c>
      <c r="L220" s="476">
        <f t="shared" ref="L220:L227" si="213">IF(K220&gt;100%,100%,K220)</f>
        <v>0.44766190569360204</v>
      </c>
      <c r="M220" s="476">
        <f>+'Plan de Accion Misional'!AK13</f>
        <v>0.11191547642340051</v>
      </c>
      <c r="N220" s="476">
        <f t="shared" si="117"/>
        <v>0.11191547642340051</v>
      </c>
      <c r="O220" s="478">
        <f t="shared" ref="O220:O227" si="214">+N220</f>
        <v>0.11191547642340051</v>
      </c>
      <c r="P220" s="213"/>
      <c r="Q220" s="214">
        <f>+'Plan de Accion Misional'!AQ13</f>
        <v>0.25</v>
      </c>
      <c r="R220" s="248">
        <f>+'Plan de Accion Misional'!BT13</f>
        <v>1</v>
      </c>
      <c r="S220" s="212">
        <f>IF(R220&gt;100%,100%,R220)</f>
        <v>1</v>
      </c>
      <c r="T220" s="304">
        <f>+'Plan de Accion Misional'!AU13</f>
        <v>0.3619154764234005</v>
      </c>
      <c r="U220" s="304">
        <f t="shared" si="209"/>
        <v>0.3619154764234005</v>
      </c>
      <c r="V220" s="211">
        <f>+U220</f>
        <v>0.3619154764234005</v>
      </c>
      <c r="W220" s="213"/>
      <c r="X220" s="214">
        <f>+'Plan de Accion Misional'!BA13</f>
        <v>0.25</v>
      </c>
      <c r="Y220" s="248">
        <f>+'Plan de Accion Misional'!BV13</f>
        <v>1</v>
      </c>
      <c r="Z220" s="212">
        <f>IF(Y220&gt;100%,100%,Y220)</f>
        <v>1</v>
      </c>
      <c r="AA220" s="217">
        <f>+'Plan de Accion Misional'!BE13</f>
        <v>0.6119154764234005</v>
      </c>
      <c r="AB220" s="217">
        <f t="shared" si="210"/>
        <v>0.6119154764234005</v>
      </c>
      <c r="AC220" s="216">
        <f>+AB220</f>
        <v>0.6119154764234005</v>
      </c>
      <c r="AD220" s="213"/>
      <c r="AE220" s="303">
        <f>+'Plan de Accion Misional'!BK13</f>
        <v>0.25</v>
      </c>
      <c r="AF220" s="248">
        <f>+'Plan de Accion Misional'!BX13</f>
        <v>1</v>
      </c>
      <c r="AG220" s="212">
        <f t="shared" si="211"/>
        <v>1</v>
      </c>
      <c r="AH220" s="248">
        <f>+'Plan de Accion Misional'!BO13</f>
        <v>0.8619154764234005</v>
      </c>
      <c r="AI220" s="211">
        <f t="shared" si="212"/>
        <v>0.8619154764234005</v>
      </c>
      <c r="AJ220" s="1483"/>
      <c r="AL220" s="1489"/>
      <c r="AM220" s="1489"/>
      <c r="AN220" s="204"/>
      <c r="AO220" s="1502"/>
      <c r="AP220" s="1489"/>
      <c r="AQ220" s="204"/>
      <c r="AR220" s="1489"/>
      <c r="AS220" s="1489"/>
      <c r="AT220" s="204"/>
      <c r="AU220" s="1489"/>
      <c r="AV220" s="1489"/>
      <c r="AW220" s="202"/>
      <c r="AX220" s="1508"/>
      <c r="AZ220" s="1489"/>
      <c r="BA220" s="1489"/>
      <c r="BB220" s="204"/>
      <c r="BC220" s="1502"/>
      <c r="BD220" s="1489"/>
      <c r="BE220" s="204"/>
      <c r="BF220" s="1489"/>
      <c r="BG220" s="1489"/>
      <c r="BH220" s="204"/>
      <c r="BI220" s="1489"/>
      <c r="BJ220" s="1489"/>
      <c r="BK220" s="202"/>
      <c r="BL220" s="1508"/>
      <c r="BN220" s="1489"/>
      <c r="BO220" s="1489"/>
      <c r="BP220" s="204"/>
      <c r="BQ220" s="1502"/>
      <c r="BR220" s="1489"/>
      <c r="BS220" s="204"/>
      <c r="BT220" s="1489"/>
      <c r="BU220" s="1489"/>
      <c r="BV220" s="204"/>
      <c r="BW220" s="1489"/>
      <c r="BX220" s="1489"/>
      <c r="BY220" s="202"/>
      <c r="BZ220" s="1508"/>
      <c r="CB220" s="1489"/>
      <c r="CC220" s="1489"/>
      <c r="CD220" s="204"/>
      <c r="CE220" s="1502"/>
      <c r="CF220" s="1489"/>
      <c r="CG220" s="204"/>
      <c r="CH220" s="1489"/>
      <c r="CI220" s="1489"/>
      <c r="CJ220" s="204"/>
      <c r="CK220" s="1489"/>
      <c r="CL220" s="1489"/>
      <c r="CM220" s="202"/>
      <c r="CN220" s="1508"/>
    </row>
    <row r="221" spans="2:92" ht="57" customHeight="1" x14ac:dyDescent="0.2">
      <c r="B221" s="1469"/>
      <c r="C221" s="1459" t="s">
        <v>59</v>
      </c>
      <c r="D221" s="1436" t="s">
        <v>204</v>
      </c>
      <c r="E221" s="1439" t="s">
        <v>1174</v>
      </c>
      <c r="F221" s="1442" t="s">
        <v>330</v>
      </c>
      <c r="G221" s="322" t="str">
        <f>+'Plan de Accion Misional'!K17</f>
        <v>Gestión de Recaudo</v>
      </c>
      <c r="H221" s="215" t="str">
        <f>+'Plan de Accion Misional'!X17</f>
        <v># Recaudos Identificados / # Total de Recaudo Recibido en el Trimestre</v>
      </c>
      <c r="J221" s="214">
        <f>+'Plan de Accion Misional'!AG17</f>
        <v>0.24984377122673551</v>
      </c>
      <c r="K221" s="476">
        <f>+'Plan de Accion Misional'!BR17</f>
        <v>0.99937508490694205</v>
      </c>
      <c r="L221" s="476">
        <f t="shared" si="213"/>
        <v>0.99937508490694205</v>
      </c>
      <c r="M221" s="476">
        <f>+'Plan de Accion Misional'!AK17</f>
        <v>0.24984377122673551</v>
      </c>
      <c r="N221" s="476">
        <f t="shared" ref="N221:N227" si="215">IF(M221&gt;100%,100%,M221)</f>
        <v>0.24984377122673551</v>
      </c>
      <c r="O221" s="478">
        <f t="shared" si="214"/>
        <v>0.24984377122673551</v>
      </c>
      <c r="P221" s="213"/>
      <c r="Q221" s="214">
        <f>+'Plan de Accion Misional'!AQ17</f>
        <v>0.24994903419805312</v>
      </c>
      <c r="R221" s="248">
        <f>+'Plan de Accion Misional'!BT17</f>
        <v>0.99979613679221246</v>
      </c>
      <c r="S221" s="212">
        <f>IF(R221&gt;100%,100%,R221)</f>
        <v>0.99979613679221246</v>
      </c>
      <c r="T221" s="325">
        <f>+'Plan de Accion Misional'!AU17</f>
        <v>0.49979280542478866</v>
      </c>
      <c r="U221" s="325">
        <f t="shared" si="209"/>
        <v>0.49979280542478866</v>
      </c>
      <c r="V221" s="211">
        <f>+U221</f>
        <v>0.49979280542478866</v>
      </c>
      <c r="W221" s="213"/>
      <c r="X221" s="214">
        <f>+'Plan de Accion Misional'!BA17</f>
        <v>0.24994659894621921</v>
      </c>
      <c r="Y221" s="248">
        <f>+'Plan de Accion Misional'!BV17</f>
        <v>0.99978639578487682</v>
      </c>
      <c r="Z221" s="212">
        <f>IF(Y221&gt;100%,100%,Y221)</f>
        <v>0.99978639578487682</v>
      </c>
      <c r="AA221" s="217">
        <f>+'Plan de Accion Misional'!BE17</f>
        <v>0.74973940437100783</v>
      </c>
      <c r="AB221" s="217">
        <f t="shared" si="210"/>
        <v>0.74973940437100783</v>
      </c>
      <c r="AC221" s="216">
        <f>+AB221</f>
        <v>0.74973940437100783</v>
      </c>
      <c r="AD221" s="213"/>
      <c r="AE221" s="330">
        <f>+'Plan de Accion Misional'!BK17</f>
        <v>0.24996970178986677</v>
      </c>
      <c r="AF221" s="248">
        <f>+'Plan de Accion Misional'!BX17</f>
        <v>0.99987880715946709</v>
      </c>
      <c r="AG221" s="212">
        <f t="shared" si="211"/>
        <v>0.99987880715946709</v>
      </c>
      <c r="AH221" s="248">
        <f>+'Plan de Accion Misional'!BO17</f>
        <v>0.99970910616087461</v>
      </c>
      <c r="AI221" s="211">
        <f t="shared" si="212"/>
        <v>0.99970910616087461</v>
      </c>
      <c r="AJ221" s="328"/>
      <c r="AL221" s="326"/>
      <c r="AM221" s="326"/>
      <c r="AN221" s="204"/>
      <c r="AO221" s="329"/>
      <c r="AP221" s="326"/>
      <c r="AQ221" s="204"/>
      <c r="AR221" s="326"/>
      <c r="AS221" s="326"/>
      <c r="AT221" s="204"/>
      <c r="AU221" s="326"/>
      <c r="AV221" s="326"/>
      <c r="AW221" s="202"/>
      <c r="AX221" s="327"/>
      <c r="AZ221" s="326"/>
      <c r="BA221" s="326"/>
      <c r="BB221" s="204"/>
      <c r="BC221" s="329"/>
      <c r="BD221" s="326"/>
      <c r="BE221" s="204"/>
      <c r="BF221" s="326"/>
      <c r="BG221" s="326"/>
      <c r="BH221" s="204"/>
      <c r="BI221" s="326"/>
      <c r="BJ221" s="326"/>
      <c r="BK221" s="202"/>
      <c r="BL221" s="327"/>
      <c r="BN221" s="326"/>
      <c r="BO221" s="326"/>
      <c r="BP221" s="204"/>
      <c r="BQ221" s="329"/>
      <c r="BR221" s="326"/>
      <c r="BS221" s="204"/>
      <c r="BT221" s="326"/>
      <c r="BU221" s="326"/>
      <c r="BV221" s="204"/>
      <c r="BW221" s="326"/>
      <c r="BX221" s="326"/>
      <c r="BY221" s="202"/>
      <c r="BZ221" s="327"/>
      <c r="CB221" s="326"/>
      <c r="CC221" s="326"/>
      <c r="CD221" s="204"/>
      <c r="CE221" s="329"/>
      <c r="CF221" s="326"/>
      <c r="CG221" s="204"/>
      <c r="CH221" s="326"/>
      <c r="CI221" s="326"/>
      <c r="CJ221" s="204"/>
      <c r="CK221" s="326"/>
      <c r="CL221" s="326"/>
      <c r="CM221" s="202"/>
      <c r="CN221" s="327"/>
    </row>
    <row r="222" spans="2:92" ht="42.75" x14ac:dyDescent="0.2">
      <c r="B222" s="1469"/>
      <c r="C222" s="1460"/>
      <c r="D222" s="1438"/>
      <c r="E222" s="1441"/>
      <c r="F222" s="1444"/>
      <c r="G222" s="322" t="str">
        <f>+'Plan de Accion Misional'!K19</f>
        <v>Informes de Portafolio</v>
      </c>
      <c r="H222" s="215" t="str">
        <f>+'Plan de Accion Misional'!X19</f>
        <v># Boletines Realizados / # Boletines Proyectados del Periodo</v>
      </c>
      <c r="J222" s="214">
        <f>+'Plan de Accion Misional'!AG19</f>
        <v>0.25</v>
      </c>
      <c r="K222" s="476">
        <f>+'Plan de Accion Misional'!BR19</f>
        <v>1</v>
      </c>
      <c r="L222" s="476">
        <f t="shared" si="213"/>
        <v>1</v>
      </c>
      <c r="M222" s="476">
        <f>+'Plan de Accion Misional'!AK19</f>
        <v>0.25</v>
      </c>
      <c r="N222" s="476">
        <f t="shared" si="215"/>
        <v>0.25</v>
      </c>
      <c r="O222" s="478">
        <f t="shared" si="214"/>
        <v>0.25</v>
      </c>
      <c r="P222" s="213"/>
      <c r="Q222" s="214">
        <f>+'Plan de Accion Misional'!AQ19</f>
        <v>0.25</v>
      </c>
      <c r="R222" s="248">
        <f>+'Plan de Accion Misional'!BT19</f>
        <v>1</v>
      </c>
      <c r="S222" s="212">
        <f>IF(R222&gt;100%,100%,R222)</f>
        <v>1</v>
      </c>
      <c r="T222" s="325">
        <f>+'Plan de Accion Misional'!AU19</f>
        <v>0.5</v>
      </c>
      <c r="U222" s="325">
        <f t="shared" si="209"/>
        <v>0.5</v>
      </c>
      <c r="V222" s="211">
        <f>+U222</f>
        <v>0.5</v>
      </c>
      <c r="W222" s="213"/>
      <c r="X222" s="214">
        <f>+'Plan de Accion Misional'!BA19</f>
        <v>0.25</v>
      </c>
      <c r="Y222" s="248">
        <f>+'Plan de Accion Misional'!BV19</f>
        <v>1</v>
      </c>
      <c r="Z222" s="212">
        <f>IF(Y222&gt;100%,100%,Y222)</f>
        <v>1</v>
      </c>
      <c r="AA222" s="217">
        <f>+'Plan de Accion Misional'!BE19</f>
        <v>0.75</v>
      </c>
      <c r="AB222" s="217">
        <f t="shared" si="210"/>
        <v>0.75</v>
      </c>
      <c r="AC222" s="216">
        <f>+AB222</f>
        <v>0.75</v>
      </c>
      <c r="AD222" s="213"/>
      <c r="AE222" s="330">
        <f>+'Plan de Accion Misional'!BK19</f>
        <v>0.25</v>
      </c>
      <c r="AF222" s="248">
        <f>+'Plan de Accion Misional'!BX19</f>
        <v>1</v>
      </c>
      <c r="AG222" s="212">
        <f t="shared" si="211"/>
        <v>1</v>
      </c>
      <c r="AH222" s="248">
        <f>+'Plan de Accion Misional'!BO19</f>
        <v>1</v>
      </c>
      <c r="AI222" s="211">
        <f t="shared" si="212"/>
        <v>1</v>
      </c>
      <c r="AJ222" s="328"/>
      <c r="AL222" s="326"/>
      <c r="AM222" s="326"/>
      <c r="AN222" s="204"/>
      <c r="AO222" s="329"/>
      <c r="AP222" s="326"/>
      <c r="AQ222" s="204"/>
      <c r="AR222" s="326"/>
      <c r="AS222" s="326"/>
      <c r="AT222" s="204"/>
      <c r="AU222" s="326"/>
      <c r="AV222" s="326"/>
      <c r="AW222" s="202"/>
      <c r="AX222" s="327"/>
      <c r="AZ222" s="326"/>
      <c r="BA222" s="326"/>
      <c r="BB222" s="204"/>
      <c r="BC222" s="329"/>
      <c r="BD222" s="326"/>
      <c r="BE222" s="204"/>
      <c r="BF222" s="326"/>
      <c r="BG222" s="326"/>
      <c r="BH222" s="204"/>
      <c r="BI222" s="326"/>
      <c r="BJ222" s="326"/>
      <c r="BK222" s="202"/>
      <c r="BL222" s="327"/>
      <c r="BN222" s="326"/>
      <c r="BO222" s="326"/>
      <c r="BP222" s="204"/>
      <c r="BQ222" s="329"/>
      <c r="BR222" s="326"/>
      <c r="BS222" s="204"/>
      <c r="BT222" s="326"/>
      <c r="BU222" s="326"/>
      <c r="BV222" s="204"/>
      <c r="BW222" s="326"/>
      <c r="BX222" s="326"/>
      <c r="BY222" s="202"/>
      <c r="BZ222" s="327"/>
      <c r="CB222" s="326"/>
      <c r="CC222" s="326"/>
      <c r="CD222" s="204"/>
      <c r="CE222" s="329"/>
      <c r="CF222" s="326"/>
      <c r="CG222" s="204"/>
      <c r="CH222" s="326"/>
      <c r="CI222" s="326"/>
      <c r="CJ222" s="204"/>
      <c r="CK222" s="326"/>
      <c r="CL222" s="326"/>
      <c r="CM222" s="202"/>
      <c r="CN222" s="327"/>
    </row>
    <row r="223" spans="2:92" ht="99.75" customHeight="1" x14ac:dyDescent="0.2">
      <c r="B223" s="1469"/>
      <c r="C223" s="1459" t="s">
        <v>60</v>
      </c>
      <c r="D223" s="1436" t="s">
        <v>204</v>
      </c>
      <c r="E223" s="1439" t="s">
        <v>125</v>
      </c>
      <c r="F223" s="1442" t="s">
        <v>330</v>
      </c>
      <c r="G223" s="322" t="str">
        <f>+'Plan de Accion apoyo transversa'!X23</f>
        <v>Conceptos jurídicos</v>
      </c>
      <c r="H223" s="215" t="str">
        <f>+'Plan de Accion apoyo transversa'!AK23</f>
        <v># Conceptos jurídicos presentados en término legal / # Conceptos jurídicos requeridos con corte al mes anterior</v>
      </c>
      <c r="J223" s="218">
        <f>+'Plan de Accion apoyo transversa'!AT23</f>
        <v>0.19230769230769232</v>
      </c>
      <c r="K223" s="476">
        <f>+'Plan de Accion apoyo transversa'!CE23</f>
        <v>0.76923076923076927</v>
      </c>
      <c r="L223" s="476">
        <f t="shared" si="213"/>
        <v>0.76923076923076927</v>
      </c>
      <c r="M223" s="476">
        <f>+'Plan de Accion apoyo transversa'!AX23</f>
        <v>0.19230769230769232</v>
      </c>
      <c r="N223" s="476">
        <f t="shared" si="215"/>
        <v>0.19230769230769232</v>
      </c>
      <c r="O223" s="478">
        <f t="shared" si="214"/>
        <v>0.19230769230769232</v>
      </c>
      <c r="P223" s="213"/>
      <c r="Q223" s="218">
        <f>+'Plan de Accion apoyo transversa'!BD23</f>
        <v>0.21428571428571427</v>
      </c>
      <c r="R223" s="248">
        <f>+'Plan de Accion apoyo transversa'!CG23</f>
        <v>0.8571428571428571</v>
      </c>
      <c r="S223" s="212">
        <f>IF(R223&gt;100%,100%,R223)</f>
        <v>0.8571428571428571</v>
      </c>
      <c r="T223" s="325">
        <f>+'Plan de Accion apoyo transversa'!BH23</f>
        <v>0.40659340659340659</v>
      </c>
      <c r="U223" s="325">
        <f t="shared" si="209"/>
        <v>0.40659340659340659</v>
      </c>
      <c r="V223" s="211">
        <f>+U223</f>
        <v>0.40659340659340659</v>
      </c>
      <c r="W223" s="213"/>
      <c r="X223" s="218">
        <f>+'Plan de Accion apoyo transversa'!BN23</f>
        <v>0.25</v>
      </c>
      <c r="Y223" s="248">
        <f>+'Plan de Accion apoyo transversa'!CI23</f>
        <v>1</v>
      </c>
      <c r="Z223" s="212">
        <f>IF(Y223&gt;100%,100%,Y223)</f>
        <v>1</v>
      </c>
      <c r="AA223" s="217">
        <f>+'Plan de Accion apoyo transversa'!BR23</f>
        <v>0.65659340659340659</v>
      </c>
      <c r="AB223" s="217">
        <f t="shared" si="210"/>
        <v>0.65659340659340659</v>
      </c>
      <c r="AC223" s="216">
        <f>+AB223</f>
        <v>0.65659340659340659</v>
      </c>
      <c r="AD223" s="213"/>
      <c r="AE223" s="218">
        <f>+'Plan de Accion apoyo transversa'!BX23</f>
        <v>0.25</v>
      </c>
      <c r="AF223" s="248">
        <f>+'Plan de Accion apoyo transversa'!CK23</f>
        <v>1</v>
      </c>
      <c r="AG223" s="212">
        <f t="shared" si="211"/>
        <v>1</v>
      </c>
      <c r="AH223" s="248">
        <f>+'Plan de Accion apoyo transversa'!CB23</f>
        <v>0.90659340659340659</v>
      </c>
      <c r="AI223" s="211">
        <f t="shared" si="212"/>
        <v>0.90659340659340659</v>
      </c>
      <c r="AJ223" s="328"/>
      <c r="AL223" s="326"/>
      <c r="AM223" s="326"/>
      <c r="AN223" s="204"/>
      <c r="AO223" s="329"/>
      <c r="AP223" s="326"/>
      <c r="AQ223" s="204"/>
      <c r="AR223" s="326"/>
      <c r="AS223" s="326"/>
      <c r="AT223" s="204"/>
      <c r="AU223" s="326"/>
      <c r="AV223" s="326"/>
      <c r="AW223" s="202"/>
      <c r="AX223" s="327"/>
      <c r="AZ223" s="326"/>
      <c r="BA223" s="326"/>
      <c r="BB223" s="204"/>
      <c r="BC223" s="329"/>
      <c r="BD223" s="326"/>
      <c r="BE223" s="204"/>
      <c r="BF223" s="326"/>
      <c r="BG223" s="326"/>
      <c r="BH223" s="204"/>
      <c r="BI223" s="326"/>
      <c r="BJ223" s="326"/>
      <c r="BK223" s="202"/>
      <c r="BL223" s="327"/>
      <c r="BN223" s="326"/>
      <c r="BO223" s="326"/>
      <c r="BP223" s="204"/>
      <c r="BQ223" s="329"/>
      <c r="BR223" s="326"/>
      <c r="BS223" s="204"/>
      <c r="BT223" s="326"/>
      <c r="BU223" s="326"/>
      <c r="BV223" s="204"/>
      <c r="BW223" s="326"/>
      <c r="BX223" s="326"/>
      <c r="BY223" s="202"/>
      <c r="BZ223" s="327"/>
      <c r="CB223" s="326"/>
      <c r="CC223" s="326"/>
      <c r="CD223" s="204"/>
      <c r="CE223" s="329"/>
      <c r="CF223" s="326"/>
      <c r="CG223" s="204"/>
      <c r="CH223" s="326"/>
      <c r="CI223" s="326"/>
      <c r="CJ223" s="204"/>
      <c r="CK223" s="326"/>
      <c r="CL223" s="326"/>
      <c r="CM223" s="202"/>
      <c r="CN223" s="327"/>
    </row>
    <row r="224" spans="2:92" ht="45" customHeight="1" x14ac:dyDescent="0.2">
      <c r="B224" s="1469"/>
      <c r="C224" s="1471"/>
      <c r="D224" s="1437"/>
      <c r="E224" s="1440"/>
      <c r="F224" s="1443"/>
      <c r="G224" s="322" t="str">
        <f>+'Plan de Accion apoyo transversa'!X24</f>
        <v>Recursos de casación y representación judicial</v>
      </c>
      <c r="H224" s="215" t="str">
        <f>+'Plan de Accion apoyo transversa'!AK24</f>
        <v>Producto entregado en el trimestre/producto requerido en el trimestre</v>
      </c>
      <c r="J224" s="218">
        <f>+'Plan de Accion apoyo transversa'!AT24</f>
        <v>0</v>
      </c>
      <c r="K224" s="476">
        <f>+'Plan de Accion apoyo transversa'!CE24</f>
        <v>0</v>
      </c>
      <c r="L224" s="476">
        <f t="shared" si="213"/>
        <v>0</v>
      </c>
      <c r="M224" s="476">
        <f>+'Plan de Accion apoyo transversa'!AX24</f>
        <v>0</v>
      </c>
      <c r="N224" s="476">
        <f t="shared" si="215"/>
        <v>0</v>
      </c>
      <c r="O224" s="478">
        <f t="shared" si="214"/>
        <v>0</v>
      </c>
      <c r="P224" s="213"/>
      <c r="Q224" s="218" t="str">
        <f>+'Plan de Accion apoyo transversa'!BD24</f>
        <v>N.A</v>
      </c>
      <c r="R224" s="248" t="str">
        <f>+'Plan de Accion apoyo transversa'!CG24</f>
        <v>No Prog, Ejec=  N.A</v>
      </c>
      <c r="S224" s="212" t="s">
        <v>204</v>
      </c>
      <c r="T224" s="793" t="s">
        <v>204</v>
      </c>
      <c r="U224" s="793" t="s">
        <v>204</v>
      </c>
      <c r="V224" s="211" t="str">
        <f>+U224</f>
        <v>N.A</v>
      </c>
      <c r="W224" s="213" t="s">
        <v>1173</v>
      </c>
      <c r="X224" s="218" t="str">
        <f>+'Plan de Accion apoyo transversa'!BN24</f>
        <v>N.A</v>
      </c>
      <c r="Y224" s="248" t="str">
        <f>+'Plan de Accion apoyo transversa'!CI24</f>
        <v>No Prog, Ejec=  N.A</v>
      </c>
      <c r="Z224" s="212" t="s">
        <v>204</v>
      </c>
      <c r="AA224" s="217" t="s">
        <v>204</v>
      </c>
      <c r="AB224" s="217" t="s">
        <v>204</v>
      </c>
      <c r="AC224" s="216" t="s">
        <v>204</v>
      </c>
      <c r="AD224" s="213"/>
      <c r="AE224" s="218" t="str">
        <f>+'Plan de Accion apoyo transversa'!BX24</f>
        <v>N/A</v>
      </c>
      <c r="AF224" s="248" t="s">
        <v>204</v>
      </c>
      <c r="AG224" s="212" t="s">
        <v>204</v>
      </c>
      <c r="AH224" s="248">
        <f>+'Plan de Accion apoyo transversa'!CB24</f>
        <v>0</v>
      </c>
      <c r="AI224" s="211">
        <f t="shared" si="212"/>
        <v>0</v>
      </c>
      <c r="AJ224" s="328"/>
      <c r="AL224" s="326"/>
      <c r="AM224" s="326"/>
      <c r="AN224" s="204"/>
      <c r="AO224" s="329"/>
      <c r="AP224" s="326"/>
      <c r="AQ224" s="204"/>
      <c r="AR224" s="326"/>
      <c r="AS224" s="326"/>
      <c r="AT224" s="204"/>
      <c r="AU224" s="326"/>
      <c r="AV224" s="326"/>
      <c r="AW224" s="202"/>
      <c r="AX224" s="327"/>
      <c r="AZ224" s="326"/>
      <c r="BA224" s="326"/>
      <c r="BB224" s="204"/>
      <c r="BC224" s="329"/>
      <c r="BD224" s="326"/>
      <c r="BE224" s="204"/>
      <c r="BF224" s="326"/>
      <c r="BG224" s="326"/>
      <c r="BH224" s="204"/>
      <c r="BI224" s="326"/>
      <c r="BJ224" s="326"/>
      <c r="BK224" s="202"/>
      <c r="BL224" s="327"/>
      <c r="BN224" s="326"/>
      <c r="BO224" s="326"/>
      <c r="BP224" s="204"/>
      <c r="BQ224" s="329"/>
      <c r="BR224" s="326"/>
      <c r="BS224" s="204"/>
      <c r="BT224" s="326"/>
      <c r="BU224" s="326"/>
      <c r="BV224" s="204"/>
      <c r="BW224" s="326"/>
      <c r="BX224" s="326"/>
      <c r="BY224" s="202"/>
      <c r="BZ224" s="327"/>
      <c r="CB224" s="326"/>
      <c r="CC224" s="326"/>
      <c r="CD224" s="204"/>
      <c r="CE224" s="329"/>
      <c r="CF224" s="326"/>
      <c r="CG224" s="204"/>
      <c r="CH224" s="326"/>
      <c r="CI224" s="326"/>
      <c r="CJ224" s="204"/>
      <c r="CK224" s="326"/>
      <c r="CL224" s="326"/>
      <c r="CM224" s="202"/>
      <c r="CN224" s="327"/>
    </row>
    <row r="225" spans="2:92" ht="71.25" x14ac:dyDescent="0.2">
      <c r="B225" s="1469"/>
      <c r="C225" s="1471"/>
      <c r="D225" s="1437"/>
      <c r="E225" s="1440"/>
      <c r="F225" s="1443"/>
      <c r="G225" s="322" t="str">
        <f>+'Plan de Accion apoyo transversa'!X25</f>
        <v>Vigilancia judicial</v>
      </c>
      <c r="H225" s="215" t="str">
        <f>+'Plan de Accion apoyo transversa'!AK25</f>
        <v>#procesos vigilados por la firma de vigilancia / # procesos relacionados para vigilancia a la firma contratada</v>
      </c>
      <c r="J225" s="218">
        <f>+'Plan de Accion apoyo transversa'!AT25</f>
        <v>0</v>
      </c>
      <c r="K225" s="476">
        <f>+'Plan de Accion apoyo transversa'!CE25</f>
        <v>0</v>
      </c>
      <c r="L225" s="476">
        <f t="shared" si="213"/>
        <v>0</v>
      </c>
      <c r="M225" s="476">
        <f>+'Plan de Accion apoyo transversa'!AX25</f>
        <v>0</v>
      </c>
      <c r="N225" s="476">
        <f t="shared" si="215"/>
        <v>0</v>
      </c>
      <c r="O225" s="478">
        <f t="shared" si="214"/>
        <v>0</v>
      </c>
      <c r="P225" s="213"/>
      <c r="Q225" s="218">
        <f>+'Plan de Accion apoyo transversa'!BD25</f>
        <v>0.25</v>
      </c>
      <c r="R225" s="248">
        <f>+'Plan de Accion apoyo transversa'!CG25</f>
        <v>1</v>
      </c>
      <c r="S225" s="212">
        <f t="shared" ref="S225:S235" si="216">IF(R225&gt;100%,100%,R225)</f>
        <v>1</v>
      </c>
      <c r="T225" s="325">
        <f>+'Plan de Accion apoyo transversa'!BH25</f>
        <v>0.25</v>
      </c>
      <c r="U225" s="325">
        <f t="shared" ref="U225:U235" si="217">IF(T225&gt;100%,100%,T225)</f>
        <v>0.25</v>
      </c>
      <c r="V225" s="211">
        <f t="shared" ref="V225:V237" si="218">+U225</f>
        <v>0.25</v>
      </c>
      <c r="W225" s="213"/>
      <c r="X225" s="218">
        <f>+'Plan de Accion apoyo transversa'!BN25</f>
        <v>0.25</v>
      </c>
      <c r="Y225" s="248">
        <f>+'Plan de Accion apoyo transversa'!CI25</f>
        <v>1</v>
      </c>
      <c r="Z225" s="212">
        <f t="shared" ref="Z225:Z235" si="219">IF(Y225&gt;100%,100%,Y225)</f>
        <v>1</v>
      </c>
      <c r="AA225" s="217">
        <f>+'Plan de Accion apoyo transversa'!BR25</f>
        <v>0.5</v>
      </c>
      <c r="AB225" s="217">
        <f t="shared" ref="AB225:AB235" si="220">IF(AA225&gt;100%,100%,AA225)</f>
        <v>0.5</v>
      </c>
      <c r="AC225" s="216">
        <f t="shared" ref="AC225:AC237" si="221">+AB225</f>
        <v>0.5</v>
      </c>
      <c r="AD225" s="213"/>
      <c r="AE225" s="218">
        <f>+'Plan de Accion apoyo transversa'!BX25</f>
        <v>0.25</v>
      </c>
      <c r="AF225" s="248">
        <f>+'Plan de Accion apoyo transversa'!CK25</f>
        <v>1</v>
      </c>
      <c r="AG225" s="212">
        <f t="shared" ref="AG225:AG235" si="222">IF(AF225&gt;100%,100%,AF225)</f>
        <v>1</v>
      </c>
      <c r="AH225" s="248">
        <f>+'Plan de Accion apoyo transversa'!CB25</f>
        <v>0.75</v>
      </c>
      <c r="AI225" s="211">
        <f t="shared" ref="AI225:AI235" si="223">IF(AH225&gt;100%,100%,AH225)</f>
        <v>0.75</v>
      </c>
      <c r="AJ225" s="328"/>
      <c r="AL225" s="326"/>
      <c r="AM225" s="326"/>
      <c r="AN225" s="204"/>
      <c r="AO225" s="329"/>
      <c r="AP225" s="326"/>
      <c r="AQ225" s="204"/>
      <c r="AR225" s="326"/>
      <c r="AS225" s="326"/>
      <c r="AT225" s="204"/>
      <c r="AU225" s="326"/>
      <c r="AV225" s="326"/>
      <c r="AW225" s="202"/>
      <c r="AX225" s="327"/>
      <c r="AZ225" s="326"/>
      <c r="BA225" s="326"/>
      <c r="BB225" s="204"/>
      <c r="BC225" s="329"/>
      <c r="BD225" s="326"/>
      <c r="BE225" s="204"/>
      <c r="BF225" s="326"/>
      <c r="BG225" s="326"/>
      <c r="BH225" s="204"/>
      <c r="BI225" s="326"/>
      <c r="BJ225" s="326"/>
      <c r="BK225" s="202"/>
      <c r="BL225" s="327"/>
      <c r="BN225" s="326"/>
      <c r="BO225" s="326"/>
      <c r="BP225" s="204"/>
      <c r="BQ225" s="329"/>
      <c r="BR225" s="326"/>
      <c r="BS225" s="204"/>
      <c r="BT225" s="326"/>
      <c r="BU225" s="326"/>
      <c r="BV225" s="204"/>
      <c r="BW225" s="326"/>
      <c r="BX225" s="326"/>
      <c r="BY225" s="202"/>
      <c r="BZ225" s="327"/>
      <c r="CB225" s="326"/>
      <c r="CC225" s="326"/>
      <c r="CD225" s="204"/>
      <c r="CE225" s="329"/>
      <c r="CF225" s="326"/>
      <c r="CG225" s="204"/>
      <c r="CH225" s="326"/>
      <c r="CI225" s="326"/>
      <c r="CJ225" s="204"/>
      <c r="CK225" s="326"/>
      <c r="CL225" s="326"/>
      <c r="CM225" s="202"/>
      <c r="CN225" s="327"/>
    </row>
    <row r="226" spans="2:92" ht="28.5" customHeight="1" x14ac:dyDescent="0.2">
      <c r="B226" s="1469"/>
      <c r="C226" s="1471"/>
      <c r="D226" s="1437"/>
      <c r="E226" s="1440"/>
      <c r="F226" s="1443"/>
      <c r="G226" s="322" t="str">
        <f>+'Plan de Accion apoyo transversa'!X27</f>
        <v>Procesos radicados en Ekogui</v>
      </c>
      <c r="H226" s="215" t="str">
        <f>+'Plan de Accion apoyo transversa'!AK27</f>
        <v xml:space="preserve">#Procesos permitidos por la plataforma durante el Trimestre  / #procesos radicados en Ekogui por los apoderados </v>
      </c>
      <c r="J226" s="218">
        <f>+'Plan de Accion apoyo transversa'!AT27</f>
        <v>0.23670557717250323</v>
      </c>
      <c r="K226" s="476">
        <f>+'Plan de Accion apoyo transversa'!CE27</f>
        <v>0.94682230869001294</v>
      </c>
      <c r="L226" s="476">
        <f t="shared" si="213"/>
        <v>0.94682230869001294</v>
      </c>
      <c r="M226" s="476">
        <f>+'Plan de Accion apoyo transversa'!AX27</f>
        <v>0.23670557717250323</v>
      </c>
      <c r="N226" s="476">
        <f t="shared" si="215"/>
        <v>0.23670557717250323</v>
      </c>
      <c r="O226" s="478">
        <f t="shared" si="214"/>
        <v>0.23670557717250323</v>
      </c>
      <c r="P226" s="213"/>
      <c r="Q226" s="218">
        <f>+'Plan de Accion apoyo transversa'!BD27</f>
        <v>0.23458445040214476</v>
      </c>
      <c r="R226" s="248">
        <f>+'Plan de Accion apoyo transversa'!CG27</f>
        <v>0.93833780160857905</v>
      </c>
      <c r="S226" s="212">
        <f t="shared" si="216"/>
        <v>0.93833780160857905</v>
      </c>
      <c r="T226" s="325">
        <f>+'Plan de Accion apoyo transversa'!BH27</f>
        <v>0.471290027574648</v>
      </c>
      <c r="U226" s="325">
        <f t="shared" si="217"/>
        <v>0.471290027574648</v>
      </c>
      <c r="V226" s="211">
        <f t="shared" si="218"/>
        <v>0.471290027574648</v>
      </c>
      <c r="W226" s="213"/>
      <c r="X226" s="218">
        <f>+'Plan de Accion apoyo transversa'!BN27</f>
        <v>0.16224489795918368</v>
      </c>
      <c r="Y226" s="248">
        <f>+'Plan de Accion apoyo transversa'!CI27</f>
        <v>0.6489795918367347</v>
      </c>
      <c r="Z226" s="212">
        <f t="shared" si="219"/>
        <v>0.6489795918367347</v>
      </c>
      <c r="AA226" s="217">
        <f>+'Plan de Accion apoyo transversa'!BR27</f>
        <v>0.63353492553383162</v>
      </c>
      <c r="AB226" s="217">
        <f t="shared" si="220"/>
        <v>0.63353492553383162</v>
      </c>
      <c r="AC226" s="216">
        <f t="shared" si="221"/>
        <v>0.63353492553383162</v>
      </c>
      <c r="AD226" s="213"/>
      <c r="AE226" s="218">
        <f>+'Plan de Accion apoyo transversa'!BX27</f>
        <v>0.25</v>
      </c>
      <c r="AF226" s="248">
        <f>+'Plan de Accion apoyo transversa'!CK27</f>
        <v>1</v>
      </c>
      <c r="AG226" s="212">
        <f t="shared" si="222"/>
        <v>1</v>
      </c>
      <c r="AH226" s="248">
        <f>+'Plan de Accion apoyo transversa'!CB27</f>
        <v>0.88353492553383162</v>
      </c>
      <c r="AI226" s="211">
        <f t="shared" si="223"/>
        <v>0.88353492553383162</v>
      </c>
      <c r="AJ226" s="328"/>
      <c r="AL226" s="326"/>
      <c r="AM226" s="326"/>
      <c r="AN226" s="204"/>
      <c r="AO226" s="329"/>
      <c r="AP226" s="326"/>
      <c r="AQ226" s="204"/>
      <c r="AR226" s="326"/>
      <c r="AS226" s="326"/>
      <c r="AT226" s="204"/>
      <c r="AU226" s="326"/>
      <c r="AV226" s="326"/>
      <c r="AW226" s="202"/>
      <c r="AX226" s="327"/>
      <c r="AZ226" s="326"/>
      <c r="BA226" s="326"/>
      <c r="BB226" s="204"/>
      <c r="BC226" s="329"/>
      <c r="BD226" s="326"/>
      <c r="BE226" s="204"/>
      <c r="BF226" s="326"/>
      <c r="BG226" s="326"/>
      <c r="BH226" s="204"/>
      <c r="BI226" s="326"/>
      <c r="BJ226" s="326"/>
      <c r="BK226" s="202"/>
      <c r="BL226" s="327"/>
      <c r="BN226" s="326"/>
      <c r="BO226" s="326"/>
      <c r="BP226" s="204"/>
      <c r="BQ226" s="329"/>
      <c r="BR226" s="326"/>
      <c r="BS226" s="204"/>
      <c r="BT226" s="326"/>
      <c r="BU226" s="326"/>
      <c r="BV226" s="204"/>
      <c r="BW226" s="326"/>
      <c r="BX226" s="326"/>
      <c r="BY226" s="202"/>
      <c r="BZ226" s="327"/>
      <c r="CB226" s="326"/>
      <c r="CC226" s="326"/>
      <c r="CD226" s="204"/>
      <c r="CE226" s="329"/>
      <c r="CF226" s="326"/>
      <c r="CG226" s="204"/>
      <c r="CH226" s="326"/>
      <c r="CI226" s="326"/>
      <c r="CJ226" s="204"/>
      <c r="CK226" s="326"/>
      <c r="CL226" s="326"/>
      <c r="CM226" s="202"/>
      <c r="CN226" s="327"/>
    </row>
    <row r="227" spans="2:92" ht="71.25" customHeight="1" x14ac:dyDescent="0.2">
      <c r="B227" s="1469"/>
      <c r="C227" s="1471"/>
      <c r="D227" s="1437"/>
      <c r="E227" s="1440"/>
      <c r="F227" s="1443"/>
      <c r="G227" s="443" t="str">
        <f>+'Plan de Accion apoyo transversa'!X28</f>
        <v>Entrega de la provisión de contingencias judiciales al Grupo de Gestión Contable y Control de Recursos ET en la fecha pactada</v>
      </c>
      <c r="H227" s="215" t="str">
        <f>+'Plan de Accion apoyo transversa'!AK28</f>
        <v>Entrega de provisión contable según requerimiento para entrega de provisión por parte de la DGRFS</v>
      </c>
      <c r="J227" s="218">
        <f>+'Plan de Accion apoyo transversa'!AT28</f>
        <v>1</v>
      </c>
      <c r="K227" s="476">
        <f>+'Plan de Accion apoyo transversa'!CE28</f>
        <v>1</v>
      </c>
      <c r="L227" s="650">
        <f t="shared" si="213"/>
        <v>1</v>
      </c>
      <c r="M227" s="650">
        <f>+'Plan de Accion apoyo transversa'!AX28</f>
        <v>0.25</v>
      </c>
      <c r="N227" s="650">
        <f t="shared" si="215"/>
        <v>0.25</v>
      </c>
      <c r="O227" s="651">
        <f t="shared" si="214"/>
        <v>0.25</v>
      </c>
      <c r="P227" s="213"/>
      <c r="Q227" s="218">
        <f>+'Plan de Accion apoyo transversa'!BD28</f>
        <v>1</v>
      </c>
      <c r="R227" s="248">
        <f>+'Plan de Accion apoyo transversa'!CG28</f>
        <v>1</v>
      </c>
      <c r="S227" s="212">
        <f t="shared" ref="S227" si="224">IF(R227&gt;100%,100%,R227)</f>
        <v>1</v>
      </c>
      <c r="T227" s="650">
        <f>+'Plan de Accion apoyo transversa'!BH28</f>
        <v>0.5</v>
      </c>
      <c r="U227" s="650">
        <f t="shared" ref="U227" si="225">IF(T227&gt;100%,100%,T227)</f>
        <v>0.5</v>
      </c>
      <c r="V227" s="211">
        <f t="shared" ref="V227" si="226">+U227</f>
        <v>0.5</v>
      </c>
      <c r="W227" s="213"/>
      <c r="X227" s="218">
        <f>+'Plan de Accion apoyo transversa'!BN28</f>
        <v>1</v>
      </c>
      <c r="Y227" s="248">
        <f>+'Plan de Accion apoyo transversa'!CI28</f>
        <v>1</v>
      </c>
      <c r="Z227" s="212">
        <f t="shared" ref="Z227" si="227">IF(Y227&gt;100%,100%,Y227)</f>
        <v>1</v>
      </c>
      <c r="AA227" s="217">
        <f>+'Plan de Accion apoyo transversa'!BR28</f>
        <v>0.75</v>
      </c>
      <c r="AB227" s="217">
        <f t="shared" ref="AB227" si="228">IF(AA227&gt;100%,100%,AA227)</f>
        <v>0.75</v>
      </c>
      <c r="AC227" s="216">
        <f t="shared" ref="AC227" si="229">+AB227</f>
        <v>0.75</v>
      </c>
      <c r="AD227" s="213"/>
      <c r="AE227" s="218">
        <f>+'Plan de Accion apoyo transversa'!BX28</f>
        <v>1</v>
      </c>
      <c r="AF227" s="248">
        <f>+'Plan de Accion apoyo transversa'!CK28</f>
        <v>1</v>
      </c>
      <c r="AG227" s="212">
        <f t="shared" ref="AG227" si="230">IF(AF227&gt;100%,100%,AF227)</f>
        <v>1</v>
      </c>
      <c r="AH227" s="248">
        <f>+'Plan de Accion apoyo transversa'!CB28</f>
        <v>1</v>
      </c>
      <c r="AI227" s="211">
        <f t="shared" ref="AI227" si="231">IF(AH227&gt;100%,100%,AH227)</f>
        <v>1</v>
      </c>
      <c r="AJ227" s="328"/>
      <c r="AL227" s="326"/>
      <c r="AM227" s="326"/>
      <c r="AN227" s="204"/>
      <c r="AO227" s="329"/>
      <c r="AP227" s="326"/>
      <c r="AQ227" s="204"/>
      <c r="AR227" s="326"/>
      <c r="AS227" s="326"/>
      <c r="AT227" s="204"/>
      <c r="AU227" s="326"/>
      <c r="AV227" s="326"/>
      <c r="AW227" s="202"/>
      <c r="AX227" s="327"/>
      <c r="AZ227" s="326"/>
      <c r="BA227" s="326"/>
      <c r="BB227" s="204"/>
      <c r="BC227" s="329"/>
      <c r="BD227" s="326"/>
      <c r="BE227" s="204"/>
      <c r="BF227" s="326"/>
      <c r="BG227" s="326"/>
      <c r="BH227" s="204"/>
      <c r="BI227" s="326"/>
      <c r="BJ227" s="326"/>
      <c r="BK227" s="202"/>
      <c r="BL227" s="327"/>
      <c r="BN227" s="326"/>
      <c r="BO227" s="326"/>
      <c r="BP227" s="204"/>
      <c r="BQ227" s="329"/>
      <c r="BR227" s="326"/>
      <c r="BS227" s="204"/>
      <c r="BT227" s="326"/>
      <c r="BU227" s="326"/>
      <c r="BV227" s="204"/>
      <c r="BW227" s="326"/>
      <c r="BX227" s="326"/>
      <c r="BY227" s="202"/>
      <c r="BZ227" s="327"/>
      <c r="CB227" s="326"/>
      <c r="CC227" s="326"/>
      <c r="CD227" s="204"/>
      <c r="CE227" s="329"/>
      <c r="CF227" s="326"/>
      <c r="CG227" s="204"/>
      <c r="CH227" s="326"/>
      <c r="CI227" s="326"/>
      <c r="CJ227" s="204"/>
      <c r="CK227" s="326"/>
      <c r="CL227" s="326"/>
      <c r="CM227" s="202"/>
      <c r="CN227" s="327"/>
    </row>
    <row r="228" spans="2:92" ht="85.5" x14ac:dyDescent="0.2">
      <c r="B228" s="1469"/>
      <c r="C228" s="1471"/>
      <c r="D228" s="1437"/>
      <c r="E228" s="1440"/>
      <c r="F228" s="1443"/>
      <c r="G228" s="1439" t="str">
        <f>+'Plan de Accion apoyo transversa'!X29</f>
        <v>Intervención en los procesos e investigaciones penales</v>
      </c>
      <c r="H228" s="215" t="str">
        <f>+'Plan de Accion apoyo transversa'!AK29</f>
        <v>#Procesos Representados durante el Trimestre / #Procesos penales en los que ADRES requiere representación judicial durante el trimestre</v>
      </c>
      <c r="J228" s="218">
        <f>+'Plan de Accion apoyo transversa'!AT29</f>
        <v>7.1428571428571425E-2</v>
      </c>
      <c r="K228" s="1447">
        <f>AVERAGE('Plan de Accion apoyo transversa'!CE29:CE30)</f>
        <v>0.14285714285714285</v>
      </c>
      <c r="L228" s="1447">
        <f t="shared" ref="L228:L239" si="232">IF(K228&gt;100%,100%,K228)</f>
        <v>0.14285714285714285</v>
      </c>
      <c r="M228" s="1447">
        <f>AVERAGE('Plan de Accion apoyo transversa'!AX29:AX30)</f>
        <v>3.5714285714285712E-2</v>
      </c>
      <c r="N228" s="1447">
        <f t="shared" ref="N228:N235" si="233">IF(M228&gt;100%,100%,M228)</f>
        <v>3.5714285714285712E-2</v>
      </c>
      <c r="O228" s="1450">
        <f t="shared" ref="O228:O239" si="234">+N228</f>
        <v>3.5714285714285712E-2</v>
      </c>
      <c r="P228" s="213"/>
      <c r="Q228" s="218">
        <f>+'Plan de Accion apoyo transversa'!BD29</f>
        <v>0.234375</v>
      </c>
      <c r="R228" s="1447">
        <f>AVERAGE('Plan de Accion apoyo transversa'!CG29:CG30)</f>
        <v>0.96875</v>
      </c>
      <c r="S228" s="1447">
        <f t="shared" si="216"/>
        <v>0.96875</v>
      </c>
      <c r="T228" s="1447">
        <f>AVERAGE('Plan de Accion apoyo transversa'!BH29:BH30)</f>
        <v>0.2779017857142857</v>
      </c>
      <c r="U228" s="1447">
        <f t="shared" si="217"/>
        <v>0.2779017857142857</v>
      </c>
      <c r="V228" s="1450">
        <f t="shared" si="218"/>
        <v>0.2779017857142857</v>
      </c>
      <c r="W228" s="213"/>
      <c r="X228" s="218">
        <f>+'Plan de Accion apoyo transversa'!BN29</f>
        <v>0.25</v>
      </c>
      <c r="Y228" s="1447">
        <f>AVERAGE('Plan de Accion apoyo transversa'!CI29:CI30)</f>
        <v>1</v>
      </c>
      <c r="Z228" s="1447">
        <f t="shared" si="219"/>
        <v>1</v>
      </c>
      <c r="AA228" s="1453">
        <f>AVERAGE('Plan de Accion apoyo transversa'!BR29:BR30)</f>
        <v>0.5279017857142857</v>
      </c>
      <c r="AB228" s="1453">
        <f t="shared" si="220"/>
        <v>0.5279017857142857</v>
      </c>
      <c r="AC228" s="1456">
        <f t="shared" si="221"/>
        <v>0.5279017857142857</v>
      </c>
      <c r="AD228" s="213"/>
      <c r="AE228" s="218">
        <f>+'Plan de Accion apoyo transversa'!BX29</f>
        <v>0.25</v>
      </c>
      <c r="AF228" s="1447">
        <f>AVERAGE('Plan de Accion apoyo transversa'!CK29:CK30)</f>
        <v>1</v>
      </c>
      <c r="AG228" s="1447">
        <f t="shared" si="222"/>
        <v>1</v>
      </c>
      <c r="AH228" s="1447">
        <f>AVERAGE('Plan de Accion apoyo transversa'!CB29:CB30)</f>
        <v>0.7779017857142857</v>
      </c>
      <c r="AI228" s="1450">
        <f t="shared" si="223"/>
        <v>0.7779017857142857</v>
      </c>
      <c r="AJ228" s="328"/>
      <c r="AL228" s="326"/>
      <c r="AM228" s="326"/>
      <c r="AN228" s="204"/>
      <c r="AO228" s="329"/>
      <c r="AP228" s="326"/>
      <c r="AQ228" s="204"/>
      <c r="AR228" s="326"/>
      <c r="AS228" s="326"/>
      <c r="AT228" s="204"/>
      <c r="AU228" s="326"/>
      <c r="AV228" s="326"/>
      <c r="AW228" s="202"/>
      <c r="AX228" s="327"/>
      <c r="AZ228" s="326"/>
      <c r="BA228" s="326"/>
      <c r="BB228" s="204"/>
      <c r="BC228" s="329"/>
      <c r="BD228" s="326"/>
      <c r="BE228" s="204"/>
      <c r="BF228" s="326"/>
      <c r="BG228" s="326"/>
      <c r="BH228" s="204"/>
      <c r="BI228" s="326"/>
      <c r="BJ228" s="326"/>
      <c r="BK228" s="202"/>
      <c r="BL228" s="327"/>
      <c r="BN228" s="326"/>
      <c r="BO228" s="326"/>
      <c r="BP228" s="204"/>
      <c r="BQ228" s="329"/>
      <c r="BR228" s="326"/>
      <c r="BS228" s="204"/>
      <c r="BT228" s="326"/>
      <c r="BU228" s="326"/>
      <c r="BV228" s="204"/>
      <c r="BW228" s="326"/>
      <c r="BX228" s="326"/>
      <c r="BY228" s="202"/>
      <c r="BZ228" s="327"/>
      <c r="CB228" s="326"/>
      <c r="CC228" s="326"/>
      <c r="CD228" s="204"/>
      <c r="CE228" s="329"/>
      <c r="CF228" s="326"/>
      <c r="CG228" s="204"/>
      <c r="CH228" s="326"/>
      <c r="CI228" s="326"/>
      <c r="CJ228" s="204"/>
      <c r="CK228" s="326"/>
      <c r="CL228" s="326"/>
      <c r="CM228" s="202"/>
      <c r="CN228" s="327"/>
    </row>
    <row r="229" spans="2:92" ht="42.75" x14ac:dyDescent="0.2">
      <c r="B229" s="1469"/>
      <c r="C229" s="1471"/>
      <c r="D229" s="1437"/>
      <c r="E229" s="1440"/>
      <c r="F229" s="1443"/>
      <c r="G229" s="1441"/>
      <c r="H229" s="215" t="str">
        <f>+'Plan de Accion apoyo transversa'!AK30</f>
        <v>#informes entregados / #Informes pedidos sobre denuncias</v>
      </c>
      <c r="J229" s="218">
        <f>+'Plan de Accion apoyo transversa'!AT30</f>
        <v>0</v>
      </c>
      <c r="K229" s="1449"/>
      <c r="L229" s="1449"/>
      <c r="M229" s="1449"/>
      <c r="N229" s="1449"/>
      <c r="O229" s="1452"/>
      <c r="P229" s="213"/>
      <c r="Q229" s="218">
        <f>+'Plan de Accion apoyo transversa'!BD30</f>
        <v>0.25</v>
      </c>
      <c r="R229" s="1449"/>
      <c r="S229" s="1449"/>
      <c r="T229" s="1449"/>
      <c r="U229" s="1449"/>
      <c r="V229" s="1452"/>
      <c r="W229" s="213"/>
      <c r="X229" s="218">
        <f>+'Plan de Accion apoyo transversa'!BN30</f>
        <v>0.25</v>
      </c>
      <c r="Y229" s="1449"/>
      <c r="Z229" s="1449"/>
      <c r="AA229" s="1455"/>
      <c r="AB229" s="1455"/>
      <c r="AC229" s="1458"/>
      <c r="AD229" s="213"/>
      <c r="AE229" s="218">
        <f>+'Plan de Accion apoyo transversa'!BX30</f>
        <v>0.25</v>
      </c>
      <c r="AF229" s="1449"/>
      <c r="AG229" s="1449"/>
      <c r="AH229" s="1449"/>
      <c r="AI229" s="1452"/>
      <c r="AJ229" s="328"/>
      <c r="AL229" s="326"/>
      <c r="AM229" s="326"/>
      <c r="AN229" s="204"/>
      <c r="AO229" s="329"/>
      <c r="AP229" s="326"/>
      <c r="AQ229" s="204"/>
      <c r="AR229" s="326"/>
      <c r="AS229" s="326"/>
      <c r="AT229" s="204"/>
      <c r="AU229" s="326"/>
      <c r="AV229" s="326"/>
      <c r="AW229" s="202"/>
      <c r="AX229" s="327"/>
      <c r="AZ229" s="326"/>
      <c r="BA229" s="326"/>
      <c r="BB229" s="204"/>
      <c r="BC229" s="329"/>
      <c r="BD229" s="326"/>
      <c r="BE229" s="204"/>
      <c r="BF229" s="326"/>
      <c r="BG229" s="326"/>
      <c r="BH229" s="204"/>
      <c r="BI229" s="326"/>
      <c r="BJ229" s="326"/>
      <c r="BK229" s="202"/>
      <c r="BL229" s="327"/>
      <c r="BN229" s="326"/>
      <c r="BO229" s="326"/>
      <c r="BP229" s="204"/>
      <c r="BQ229" s="329"/>
      <c r="BR229" s="326"/>
      <c r="BS229" s="204"/>
      <c r="BT229" s="326"/>
      <c r="BU229" s="326"/>
      <c r="BV229" s="204"/>
      <c r="BW229" s="326"/>
      <c r="BX229" s="326"/>
      <c r="BY229" s="202"/>
      <c r="BZ229" s="327"/>
      <c r="CB229" s="326"/>
      <c r="CC229" s="326"/>
      <c r="CD229" s="204"/>
      <c r="CE229" s="329"/>
      <c r="CF229" s="326"/>
      <c r="CG229" s="204"/>
      <c r="CH229" s="326"/>
      <c r="CI229" s="326"/>
      <c r="CJ229" s="204"/>
      <c r="CK229" s="326"/>
      <c r="CL229" s="326"/>
      <c r="CM229" s="202"/>
      <c r="CN229" s="327"/>
    </row>
    <row r="230" spans="2:92" ht="42.75" x14ac:dyDescent="0.2">
      <c r="B230" s="1469"/>
      <c r="C230" s="1471"/>
      <c r="D230" s="1437"/>
      <c r="E230" s="1440"/>
      <c r="F230" s="1443"/>
      <c r="G230" s="322" t="str">
        <f>+'Plan de Accion apoyo transversa'!X33</f>
        <v xml:space="preserve">Fichas técnicas  </v>
      </c>
      <c r="H230" s="215" t="str">
        <f>+'Plan de Accion apoyo transversa'!AK33</f>
        <v># Fichas técnicas  / # Audiencias a la conciliación notificadas a la entidad</v>
      </c>
      <c r="J230" s="218">
        <f>+'Plan de Accion apoyo transversa'!AT33</f>
        <v>0.10372340425531915</v>
      </c>
      <c r="K230" s="476">
        <f>+'Plan de Accion apoyo transversa'!CE33</f>
        <v>0.41489361702127658</v>
      </c>
      <c r="L230" s="476">
        <f t="shared" si="232"/>
        <v>0.41489361702127658</v>
      </c>
      <c r="M230" s="476">
        <f>+'Plan de Accion apoyo transversa'!AX33</f>
        <v>0.10372340425531915</v>
      </c>
      <c r="N230" s="476">
        <f t="shared" si="233"/>
        <v>0.10372340425531915</v>
      </c>
      <c r="O230" s="478">
        <f t="shared" si="234"/>
        <v>0.10372340425531915</v>
      </c>
      <c r="P230" s="213"/>
      <c r="Q230" s="218">
        <f>+'Plan de Accion apoyo transversa'!BD33</f>
        <v>0.11290322580645161</v>
      </c>
      <c r="R230" s="248">
        <f>+'Plan de Accion apoyo transversa'!CG33</f>
        <v>0.45161290322580644</v>
      </c>
      <c r="S230" s="212">
        <f t="shared" si="216"/>
        <v>0.45161290322580644</v>
      </c>
      <c r="T230" s="325">
        <f>+'Plan de Accion apoyo transversa'!BH33</f>
        <v>0.21662663006177074</v>
      </c>
      <c r="U230" s="325">
        <f t="shared" si="217"/>
        <v>0.21662663006177074</v>
      </c>
      <c r="V230" s="211">
        <f t="shared" si="218"/>
        <v>0.21662663006177074</v>
      </c>
      <c r="W230" s="213"/>
      <c r="X230" s="218">
        <f>+'Plan de Accion apoyo transversa'!BN33</f>
        <v>0.25</v>
      </c>
      <c r="Y230" s="248">
        <f>+'Plan de Accion apoyo transversa'!CI33</f>
        <v>1</v>
      </c>
      <c r="Z230" s="212">
        <f t="shared" si="219"/>
        <v>1</v>
      </c>
      <c r="AA230" s="217">
        <f>+'Plan de Accion apoyo transversa'!BR33</f>
        <v>0.46662663006177074</v>
      </c>
      <c r="AB230" s="217">
        <f t="shared" si="220"/>
        <v>0.46662663006177074</v>
      </c>
      <c r="AC230" s="216">
        <f t="shared" si="221"/>
        <v>0.46662663006177074</v>
      </c>
      <c r="AD230" s="213"/>
      <c r="AE230" s="218">
        <f>+'Plan de Accion apoyo transversa'!BX33</f>
        <v>0.25</v>
      </c>
      <c r="AF230" s="248">
        <f>+'Plan de Accion apoyo transversa'!CK33</f>
        <v>1</v>
      </c>
      <c r="AG230" s="212">
        <f t="shared" si="222"/>
        <v>1</v>
      </c>
      <c r="AH230" s="248">
        <f>+'Plan de Accion apoyo transversa'!CB33</f>
        <v>0.71662663006177074</v>
      </c>
      <c r="AI230" s="211">
        <f t="shared" si="223"/>
        <v>0.71662663006177074</v>
      </c>
      <c r="AJ230" s="328"/>
      <c r="AL230" s="326"/>
      <c r="AM230" s="326"/>
      <c r="AN230" s="204"/>
      <c r="AO230" s="329"/>
      <c r="AP230" s="326"/>
      <c r="AQ230" s="204"/>
      <c r="AR230" s="326"/>
      <c r="AS230" s="326"/>
      <c r="AT230" s="204"/>
      <c r="AU230" s="326"/>
      <c r="AV230" s="326"/>
      <c r="AW230" s="202"/>
      <c r="AX230" s="327"/>
      <c r="AZ230" s="326"/>
      <c r="BA230" s="326"/>
      <c r="BB230" s="204"/>
      <c r="BC230" s="329"/>
      <c r="BD230" s="326"/>
      <c r="BE230" s="204"/>
      <c r="BF230" s="326"/>
      <c r="BG230" s="326"/>
      <c r="BH230" s="204"/>
      <c r="BI230" s="326"/>
      <c r="BJ230" s="326"/>
      <c r="BK230" s="202"/>
      <c r="BL230" s="327"/>
      <c r="BN230" s="326"/>
      <c r="BO230" s="326"/>
      <c r="BP230" s="204"/>
      <c r="BQ230" s="329"/>
      <c r="BR230" s="326"/>
      <c r="BS230" s="204"/>
      <c r="BT230" s="326"/>
      <c r="BU230" s="326"/>
      <c r="BV230" s="204"/>
      <c r="BW230" s="326"/>
      <c r="BX230" s="326"/>
      <c r="BY230" s="202"/>
      <c r="BZ230" s="327"/>
      <c r="CB230" s="326"/>
      <c r="CC230" s="326"/>
      <c r="CD230" s="204"/>
      <c r="CE230" s="329"/>
      <c r="CF230" s="326"/>
      <c r="CG230" s="204"/>
      <c r="CH230" s="326"/>
      <c r="CI230" s="326"/>
      <c r="CJ230" s="204"/>
      <c r="CK230" s="326"/>
      <c r="CL230" s="326"/>
      <c r="CM230" s="202"/>
      <c r="CN230" s="327"/>
    </row>
    <row r="231" spans="2:92" ht="42.75" x14ac:dyDescent="0.2">
      <c r="B231" s="1469"/>
      <c r="C231" s="1471"/>
      <c r="D231" s="1437"/>
      <c r="E231" s="1440"/>
      <c r="F231" s="1443"/>
      <c r="G231" s="322" t="str">
        <f>+'Plan de Accion apoyo transversa'!X34</f>
        <v xml:space="preserve">Fichas técnicas demandas </v>
      </c>
      <c r="H231" s="215" t="str">
        <f>+'Plan de Accion apoyo transversa'!AK34</f>
        <v># Fichas técnicas demandas próximas a audiencia inicial / # audiencias iniciales</v>
      </c>
      <c r="J231" s="218">
        <f>+'Plan de Accion apoyo transversa'!AT34</f>
        <v>0.24786324786324787</v>
      </c>
      <c r="K231" s="476">
        <f>+'Plan de Accion apoyo transversa'!CE34</f>
        <v>0.99145299145299148</v>
      </c>
      <c r="L231" s="476">
        <f t="shared" si="232"/>
        <v>0.99145299145299148</v>
      </c>
      <c r="M231" s="476">
        <f>+'Plan de Accion apoyo transversa'!AX34</f>
        <v>0.24786324786324787</v>
      </c>
      <c r="N231" s="476">
        <f t="shared" si="233"/>
        <v>0.24786324786324787</v>
      </c>
      <c r="O231" s="478">
        <f t="shared" si="234"/>
        <v>0.24786324786324787</v>
      </c>
      <c r="P231" s="213"/>
      <c r="Q231" s="218">
        <f>+'Plan de Accion apoyo transversa'!BD34</f>
        <v>0.25</v>
      </c>
      <c r="R231" s="248">
        <f>+'Plan de Accion apoyo transversa'!CG34</f>
        <v>1</v>
      </c>
      <c r="S231" s="212">
        <f t="shared" si="216"/>
        <v>1</v>
      </c>
      <c r="T231" s="325">
        <f>+'Plan de Accion apoyo transversa'!BH34</f>
        <v>0.49786324786324787</v>
      </c>
      <c r="U231" s="325">
        <f t="shared" si="217"/>
        <v>0.49786324786324787</v>
      </c>
      <c r="V231" s="211">
        <f t="shared" si="218"/>
        <v>0.49786324786324787</v>
      </c>
      <c r="W231" s="213"/>
      <c r="X231" s="218">
        <f>+'Plan de Accion apoyo transversa'!BN34</f>
        <v>0.25</v>
      </c>
      <c r="Y231" s="248">
        <f>+'Plan de Accion apoyo transversa'!CI34</f>
        <v>1</v>
      </c>
      <c r="Z231" s="212">
        <f t="shared" si="219"/>
        <v>1</v>
      </c>
      <c r="AA231" s="217">
        <f>+'Plan de Accion apoyo transversa'!BR34</f>
        <v>0.74786324786324787</v>
      </c>
      <c r="AB231" s="217">
        <f t="shared" si="220"/>
        <v>0.74786324786324787</v>
      </c>
      <c r="AC231" s="216">
        <f t="shared" si="221"/>
        <v>0.74786324786324787</v>
      </c>
      <c r="AD231" s="213"/>
      <c r="AE231" s="218">
        <f>+'Plan de Accion apoyo transversa'!BX34</f>
        <v>0.25</v>
      </c>
      <c r="AF231" s="248">
        <f>+'Plan de Accion apoyo transversa'!CK34</f>
        <v>1</v>
      </c>
      <c r="AG231" s="212">
        <f t="shared" si="222"/>
        <v>1</v>
      </c>
      <c r="AH231" s="248">
        <f>+'Plan de Accion apoyo transversa'!CB34</f>
        <v>0.99786324786324787</v>
      </c>
      <c r="AI231" s="211">
        <f t="shared" si="223"/>
        <v>0.99786324786324787</v>
      </c>
      <c r="AJ231" s="328"/>
      <c r="AL231" s="326"/>
      <c r="AM231" s="326"/>
      <c r="AN231" s="204"/>
      <c r="AO231" s="329"/>
      <c r="AP231" s="326"/>
      <c r="AQ231" s="204"/>
      <c r="AR231" s="326"/>
      <c r="AS231" s="326"/>
      <c r="AT231" s="204"/>
      <c r="AU231" s="326"/>
      <c r="AV231" s="326"/>
      <c r="AW231" s="202"/>
      <c r="AX231" s="327"/>
      <c r="AZ231" s="326"/>
      <c r="BA231" s="326"/>
      <c r="BB231" s="204"/>
      <c r="BC231" s="329"/>
      <c r="BD231" s="326"/>
      <c r="BE231" s="204"/>
      <c r="BF231" s="326"/>
      <c r="BG231" s="326"/>
      <c r="BH231" s="204"/>
      <c r="BI231" s="326"/>
      <c r="BJ231" s="326"/>
      <c r="BK231" s="202"/>
      <c r="BL231" s="327"/>
      <c r="BN231" s="326"/>
      <c r="BO231" s="326"/>
      <c r="BP231" s="204"/>
      <c r="BQ231" s="329"/>
      <c r="BR231" s="326"/>
      <c r="BS231" s="204"/>
      <c r="BT231" s="326"/>
      <c r="BU231" s="326"/>
      <c r="BV231" s="204"/>
      <c r="BW231" s="326"/>
      <c r="BX231" s="326"/>
      <c r="BY231" s="202"/>
      <c r="BZ231" s="327"/>
      <c r="CB231" s="326"/>
      <c r="CC231" s="326"/>
      <c r="CD231" s="204"/>
      <c r="CE231" s="329"/>
      <c r="CF231" s="326"/>
      <c r="CG231" s="204"/>
      <c r="CH231" s="326"/>
      <c r="CI231" s="326"/>
      <c r="CJ231" s="204"/>
      <c r="CK231" s="326"/>
      <c r="CL231" s="326"/>
      <c r="CM231" s="202"/>
      <c r="CN231" s="327"/>
    </row>
    <row r="232" spans="2:92" ht="42.75" x14ac:dyDescent="0.2">
      <c r="B232" s="1469"/>
      <c r="C232" s="1471"/>
      <c r="D232" s="1437"/>
      <c r="E232" s="1440"/>
      <c r="F232" s="1443"/>
      <c r="G232" s="663" t="str">
        <f>+'Plan de Accion apoyo transversa'!X37</f>
        <v>Actas del Comité de Conciliación debidamente firmadas</v>
      </c>
      <c r="H232" s="215" t="str">
        <f>+'Plan de Accion apoyo transversa'!AK37</f>
        <v># Actas debidamente firmadas / # sesiones del Comité de Conciliación</v>
      </c>
      <c r="J232" s="654">
        <f>+'Plan de Accion apoyo transversa'!AT37</f>
        <v>0.05</v>
      </c>
      <c r="K232" s="650">
        <f>+'Plan de Accion apoyo transversa'!CE37</f>
        <v>0.2</v>
      </c>
      <c r="L232" s="650">
        <f t="shared" ref="L232" si="235">IF(K232&gt;100%,100%,K232)</f>
        <v>0.2</v>
      </c>
      <c r="M232" s="650">
        <f>+'Plan de Accion apoyo transversa'!AX37</f>
        <v>0.2</v>
      </c>
      <c r="N232" s="650">
        <f t="shared" ref="N232" si="236">IF(M232&gt;100%,100%,M232)</f>
        <v>0.2</v>
      </c>
      <c r="O232" s="651">
        <f t="shared" ref="O232" si="237">+N232</f>
        <v>0.2</v>
      </c>
      <c r="P232" s="213"/>
      <c r="Q232" s="218">
        <f>+'Plan de Accion apoyo transversa'!BD37</f>
        <v>0</v>
      </c>
      <c r="R232" s="248" t="s">
        <v>180</v>
      </c>
      <c r="S232" s="212" t="s">
        <v>204</v>
      </c>
      <c r="T232" s="650">
        <f>+'Plan de Accion apoyo transversa'!BH37</f>
        <v>0.2</v>
      </c>
      <c r="U232" s="650">
        <f t="shared" ref="U232" si="238">IF(T232&gt;100%,100%,T232)</f>
        <v>0.2</v>
      </c>
      <c r="V232" s="211">
        <f t="shared" ref="V232" si="239">+U232</f>
        <v>0.2</v>
      </c>
      <c r="W232" s="213"/>
      <c r="X232" s="218">
        <f>+'Plan de Accion apoyo transversa'!BN37</f>
        <v>0</v>
      </c>
      <c r="Y232" s="248" t="s">
        <v>180</v>
      </c>
      <c r="Z232" s="212" t="s">
        <v>204</v>
      </c>
      <c r="AA232" s="217">
        <f>+'Plan de Accion apoyo transversa'!BR37</f>
        <v>0.2</v>
      </c>
      <c r="AB232" s="217">
        <f t="shared" ref="AB232" si="240">IF(AA232&gt;100%,100%,AA232)</f>
        <v>0.2</v>
      </c>
      <c r="AC232" s="216">
        <f t="shared" ref="AC232" si="241">+AB232</f>
        <v>0.2</v>
      </c>
      <c r="AD232" s="213"/>
      <c r="AE232" s="218">
        <f>+'Plan de Accion apoyo transversa'!BX37</f>
        <v>0</v>
      </c>
      <c r="AF232" s="248" t="s">
        <v>180</v>
      </c>
      <c r="AG232" s="212" t="s">
        <v>204</v>
      </c>
      <c r="AH232" s="248">
        <f>+'Plan de Accion apoyo transversa'!CB37</f>
        <v>0.2</v>
      </c>
      <c r="AI232" s="211">
        <f t="shared" ref="AI232" si="242">IF(AH232&gt;100%,100%,AH232)</f>
        <v>0.2</v>
      </c>
      <c r="AJ232" s="655"/>
      <c r="AL232" s="656"/>
      <c r="AM232" s="656"/>
      <c r="AN232" s="204"/>
      <c r="AO232" s="657"/>
      <c r="AP232" s="656"/>
      <c r="AQ232" s="204"/>
      <c r="AR232" s="656"/>
      <c r="AS232" s="656"/>
      <c r="AT232" s="204"/>
      <c r="AU232" s="656"/>
      <c r="AV232" s="656"/>
      <c r="AW232" s="202"/>
      <c r="AX232" s="660"/>
      <c r="AZ232" s="656"/>
      <c r="BA232" s="656"/>
      <c r="BB232" s="204"/>
      <c r="BC232" s="657"/>
      <c r="BD232" s="656"/>
      <c r="BE232" s="204"/>
      <c r="BF232" s="656"/>
      <c r="BG232" s="656"/>
      <c r="BH232" s="204"/>
      <c r="BI232" s="656"/>
      <c r="BJ232" s="656"/>
      <c r="BK232" s="202"/>
      <c r="BL232" s="660"/>
      <c r="BN232" s="656"/>
      <c r="BO232" s="656"/>
      <c r="BP232" s="204"/>
      <c r="BQ232" s="657"/>
      <c r="BR232" s="656"/>
      <c r="BS232" s="204"/>
      <c r="BT232" s="656"/>
      <c r="BU232" s="656"/>
      <c r="BV232" s="204"/>
      <c r="BW232" s="656"/>
      <c r="BX232" s="656"/>
      <c r="BY232" s="202"/>
      <c r="BZ232" s="660"/>
      <c r="CB232" s="656"/>
      <c r="CC232" s="656"/>
      <c r="CD232" s="204"/>
      <c r="CE232" s="657"/>
      <c r="CF232" s="656"/>
      <c r="CG232" s="204"/>
      <c r="CH232" s="656"/>
      <c r="CI232" s="656"/>
      <c r="CJ232" s="204"/>
      <c r="CK232" s="656"/>
      <c r="CL232" s="656"/>
      <c r="CM232" s="202"/>
      <c r="CN232" s="660"/>
    </row>
    <row r="233" spans="2:92" ht="42.75" customHeight="1" x14ac:dyDescent="0.2">
      <c r="B233" s="1469"/>
      <c r="C233" s="1471"/>
      <c r="D233" s="1437"/>
      <c r="E233" s="1440"/>
      <c r="F233" s="1443"/>
      <c r="G233" s="322" t="str">
        <f>+'Plan de Accion apoyo transversa'!X38</f>
        <v>Actas del Comité de Conciliación debidamente firmadas</v>
      </c>
      <c r="H233" s="215" t="str">
        <f>+'Plan de Accion apoyo transversa'!AK38</f>
        <v>#actas proyectadas durante el trimestre/#Sesiones llevadas a cabo en el trimestre</v>
      </c>
      <c r="J233" s="218" t="str">
        <f>+'Plan de Accion apoyo transversa'!AT38</f>
        <v>N.A</v>
      </c>
      <c r="K233" s="650" t="s">
        <v>180</v>
      </c>
      <c r="L233" s="476" t="s">
        <v>204</v>
      </c>
      <c r="M233" s="476" t="s">
        <v>204</v>
      </c>
      <c r="N233" s="476" t="s">
        <v>204</v>
      </c>
      <c r="O233" s="478" t="s">
        <v>204</v>
      </c>
      <c r="P233" s="213"/>
      <c r="Q233" s="218">
        <f>+'Plan de Accion apoyo transversa'!BD38</f>
        <v>0.25</v>
      </c>
      <c r="R233" s="248">
        <f>+'Plan de Accion apoyo transversa'!CG38</f>
        <v>1</v>
      </c>
      <c r="S233" s="212">
        <f t="shared" si="216"/>
        <v>1</v>
      </c>
      <c r="T233" s="325">
        <f>+'Plan de Accion apoyo transversa'!BH38</f>
        <v>0.33333333333333331</v>
      </c>
      <c r="U233" s="325">
        <f t="shared" si="217"/>
        <v>0.33333333333333331</v>
      </c>
      <c r="V233" s="211">
        <f t="shared" si="218"/>
        <v>0.33333333333333331</v>
      </c>
      <c r="W233" s="213"/>
      <c r="X233" s="218">
        <f>+'Plan de Accion apoyo transversa'!BN38</f>
        <v>0.1111111111111111</v>
      </c>
      <c r="Y233" s="248">
        <f>+'Plan de Accion apoyo transversa'!CI38</f>
        <v>0.44444444444444442</v>
      </c>
      <c r="Z233" s="212">
        <f t="shared" si="219"/>
        <v>0.44444444444444442</v>
      </c>
      <c r="AA233" s="217">
        <f>+'Plan de Accion apoyo transversa'!BR38</f>
        <v>0.48148148148148145</v>
      </c>
      <c r="AB233" s="217">
        <f t="shared" si="220"/>
        <v>0.48148148148148145</v>
      </c>
      <c r="AC233" s="216">
        <f t="shared" si="221"/>
        <v>0.48148148148148145</v>
      </c>
      <c r="AD233" s="213"/>
      <c r="AE233" s="218">
        <f>+'Plan de Accion apoyo transversa'!BX38</f>
        <v>0.25</v>
      </c>
      <c r="AF233" s="248">
        <f>+'Plan de Accion apoyo transversa'!CK38</f>
        <v>1</v>
      </c>
      <c r="AG233" s="212">
        <f t="shared" si="222"/>
        <v>1</v>
      </c>
      <c r="AH233" s="248">
        <f>+'Plan de Accion apoyo transversa'!CB38</f>
        <v>0.81481481481481488</v>
      </c>
      <c r="AI233" s="211">
        <f t="shared" si="223"/>
        <v>0.81481481481481488</v>
      </c>
      <c r="AJ233" s="328"/>
      <c r="AL233" s="326"/>
      <c r="AM233" s="326"/>
      <c r="AN233" s="204"/>
      <c r="AO233" s="329"/>
      <c r="AP233" s="326"/>
      <c r="AQ233" s="204"/>
      <c r="AR233" s="326"/>
      <c r="AS233" s="326"/>
      <c r="AT233" s="204"/>
      <c r="AU233" s="326"/>
      <c r="AV233" s="326"/>
      <c r="AW233" s="202"/>
      <c r="AX233" s="327"/>
      <c r="AZ233" s="326"/>
      <c r="BA233" s="326"/>
      <c r="BB233" s="204"/>
      <c r="BC233" s="329"/>
      <c r="BD233" s="326"/>
      <c r="BE233" s="204"/>
      <c r="BF233" s="326"/>
      <c r="BG233" s="326"/>
      <c r="BH233" s="204"/>
      <c r="BI233" s="326"/>
      <c r="BJ233" s="326"/>
      <c r="BK233" s="202"/>
      <c r="BL233" s="327"/>
      <c r="BN233" s="326"/>
      <c r="BO233" s="326"/>
      <c r="BP233" s="204"/>
      <c r="BQ233" s="329"/>
      <c r="BR233" s="326"/>
      <c r="BS233" s="204"/>
      <c r="BT233" s="326"/>
      <c r="BU233" s="326"/>
      <c r="BV233" s="204"/>
      <c r="BW233" s="326"/>
      <c r="BX233" s="326"/>
      <c r="BY233" s="202"/>
      <c r="BZ233" s="327"/>
      <c r="CB233" s="326"/>
      <c r="CC233" s="326"/>
      <c r="CD233" s="204"/>
      <c r="CE233" s="329"/>
      <c r="CF233" s="326"/>
      <c r="CG233" s="204"/>
      <c r="CH233" s="326"/>
      <c r="CI233" s="326"/>
      <c r="CJ233" s="204"/>
      <c r="CK233" s="326"/>
      <c r="CL233" s="326"/>
      <c r="CM233" s="202"/>
      <c r="CN233" s="327"/>
    </row>
    <row r="234" spans="2:92" ht="42.75" x14ac:dyDescent="0.2">
      <c r="B234" s="1469"/>
      <c r="C234" s="1471"/>
      <c r="D234" s="1437"/>
      <c r="E234" s="1440"/>
      <c r="F234" s="1443"/>
      <c r="G234" s="322" t="str">
        <f>+'Plan de Accion apoyo transversa'!X39</f>
        <v xml:space="preserve">Reparto </v>
      </c>
      <c r="H234" s="215" t="str">
        <f>+'Plan de Accion apoyo transversa'!AK39</f>
        <v># asignaciones realizadas / # de radicados de correspondencia</v>
      </c>
      <c r="J234" s="218">
        <f>+'Plan de Accion apoyo transversa'!AT39</f>
        <v>0.25</v>
      </c>
      <c r="K234" s="476">
        <f>+'Plan de Accion apoyo transversa'!CE39</f>
        <v>1</v>
      </c>
      <c r="L234" s="476">
        <f t="shared" si="232"/>
        <v>1</v>
      </c>
      <c r="M234" s="476">
        <f>+'Plan de Accion apoyo transversa'!AX39</f>
        <v>0.25</v>
      </c>
      <c r="N234" s="476">
        <f t="shared" si="233"/>
        <v>0.25</v>
      </c>
      <c r="O234" s="478">
        <f t="shared" si="234"/>
        <v>0.25</v>
      </c>
      <c r="P234" s="213"/>
      <c r="Q234" s="218">
        <f>+'Plan de Accion apoyo transversa'!BD39</f>
        <v>0.25</v>
      </c>
      <c r="R234" s="248">
        <f>+'Plan de Accion apoyo transversa'!CG39</f>
        <v>1</v>
      </c>
      <c r="S234" s="212">
        <f t="shared" si="216"/>
        <v>1</v>
      </c>
      <c r="T234" s="325">
        <f>+'Plan de Accion apoyo transversa'!BH39</f>
        <v>0.5</v>
      </c>
      <c r="U234" s="325">
        <f t="shared" si="217"/>
        <v>0.5</v>
      </c>
      <c r="V234" s="211">
        <f t="shared" si="218"/>
        <v>0.5</v>
      </c>
      <c r="W234" s="213"/>
      <c r="X234" s="218">
        <f>+'Plan de Accion apoyo transversa'!BN39</f>
        <v>0.25</v>
      </c>
      <c r="Y234" s="248">
        <f>+'Plan de Accion apoyo transversa'!CI39</f>
        <v>1</v>
      </c>
      <c r="Z234" s="212">
        <f t="shared" si="219"/>
        <v>1</v>
      </c>
      <c r="AA234" s="217">
        <f>+'Plan de Accion apoyo transversa'!BR39</f>
        <v>0.75</v>
      </c>
      <c r="AB234" s="217">
        <f t="shared" si="220"/>
        <v>0.75</v>
      </c>
      <c r="AC234" s="216">
        <f t="shared" si="221"/>
        <v>0.75</v>
      </c>
      <c r="AD234" s="213"/>
      <c r="AE234" s="218">
        <f>+'Plan de Accion apoyo transversa'!BX39</f>
        <v>0.25</v>
      </c>
      <c r="AF234" s="248">
        <f>+'Plan de Accion apoyo transversa'!CK39</f>
        <v>1</v>
      </c>
      <c r="AG234" s="212">
        <f t="shared" si="222"/>
        <v>1</v>
      </c>
      <c r="AH234" s="248">
        <f>+'Plan de Accion apoyo transversa'!CB39</f>
        <v>1</v>
      </c>
      <c r="AI234" s="211">
        <f t="shared" si="223"/>
        <v>1</v>
      </c>
      <c r="AJ234" s="328"/>
      <c r="AL234" s="326"/>
      <c r="AM234" s="326"/>
      <c r="AN234" s="204"/>
      <c r="AO234" s="329"/>
      <c r="AP234" s="326"/>
      <c r="AQ234" s="204"/>
      <c r="AR234" s="326"/>
      <c r="AS234" s="326"/>
      <c r="AT234" s="204"/>
      <c r="AU234" s="326"/>
      <c r="AV234" s="326"/>
      <c r="AW234" s="202"/>
      <c r="AX234" s="327"/>
      <c r="AZ234" s="326"/>
      <c r="BA234" s="326"/>
      <c r="BB234" s="204"/>
      <c r="BC234" s="329"/>
      <c r="BD234" s="326"/>
      <c r="BE234" s="204"/>
      <c r="BF234" s="326"/>
      <c r="BG234" s="326"/>
      <c r="BH234" s="204"/>
      <c r="BI234" s="326"/>
      <c r="BJ234" s="326"/>
      <c r="BK234" s="202"/>
      <c r="BL234" s="327"/>
      <c r="BN234" s="326"/>
      <c r="BO234" s="326"/>
      <c r="BP234" s="204"/>
      <c r="BQ234" s="329"/>
      <c r="BR234" s="326"/>
      <c r="BS234" s="204"/>
      <c r="BT234" s="326"/>
      <c r="BU234" s="326"/>
      <c r="BV234" s="204"/>
      <c r="BW234" s="326"/>
      <c r="BX234" s="326"/>
      <c r="BY234" s="202"/>
      <c r="BZ234" s="327"/>
      <c r="CB234" s="326"/>
      <c r="CC234" s="326"/>
      <c r="CD234" s="204"/>
      <c r="CE234" s="329"/>
      <c r="CF234" s="326"/>
      <c r="CG234" s="204"/>
      <c r="CH234" s="326"/>
      <c r="CI234" s="326"/>
      <c r="CJ234" s="204"/>
      <c r="CK234" s="326"/>
      <c r="CL234" s="326"/>
      <c r="CM234" s="202"/>
      <c r="CN234" s="327"/>
    </row>
    <row r="235" spans="2:92" ht="42.75" x14ac:dyDescent="0.2">
      <c r="B235" s="1469"/>
      <c r="C235" s="1460"/>
      <c r="D235" s="1438"/>
      <c r="E235" s="1441"/>
      <c r="F235" s="1444"/>
      <c r="G235" s="322" t="str">
        <f>+'Plan de Accion apoyo transversa'!X40</f>
        <v>Poderes</v>
      </c>
      <c r="H235" s="215" t="str">
        <f>+'Plan de Accion apoyo transversa'!AK40</f>
        <v># Poderes elaborados / # demandas asignadas a los apoderados</v>
      </c>
      <c r="J235" s="218">
        <f>+'Plan de Accion apoyo transversa'!AT40</f>
        <v>0.25</v>
      </c>
      <c r="K235" s="476">
        <f>+'Plan de Accion apoyo transversa'!CE40</f>
        <v>1</v>
      </c>
      <c r="L235" s="476">
        <f t="shared" si="232"/>
        <v>1</v>
      </c>
      <c r="M235" s="476">
        <f>+'Plan de Accion apoyo transversa'!AX40</f>
        <v>0.25</v>
      </c>
      <c r="N235" s="476">
        <f t="shared" si="233"/>
        <v>0.25</v>
      </c>
      <c r="O235" s="478">
        <f t="shared" si="234"/>
        <v>0.25</v>
      </c>
      <c r="P235" s="213"/>
      <c r="Q235" s="218">
        <f>+'Plan de Accion apoyo transversa'!BD40</f>
        <v>0.25</v>
      </c>
      <c r="R235" s="248">
        <f>+'Plan de Accion apoyo transversa'!CG40</f>
        <v>1</v>
      </c>
      <c r="S235" s="212">
        <f t="shared" si="216"/>
        <v>1</v>
      </c>
      <c r="T235" s="325">
        <f>+'Plan de Accion apoyo transversa'!BH40</f>
        <v>0.5</v>
      </c>
      <c r="U235" s="325">
        <f t="shared" si="217"/>
        <v>0.5</v>
      </c>
      <c r="V235" s="211">
        <f t="shared" si="218"/>
        <v>0.5</v>
      </c>
      <c r="W235" s="213"/>
      <c r="X235" s="218">
        <f>+'Plan de Accion apoyo transversa'!BN40</f>
        <v>0.25</v>
      </c>
      <c r="Y235" s="248">
        <f>+'Plan de Accion apoyo transversa'!CI40</f>
        <v>1</v>
      </c>
      <c r="Z235" s="212">
        <f t="shared" si="219"/>
        <v>1</v>
      </c>
      <c r="AA235" s="217">
        <f>+'Plan de Accion apoyo transversa'!BR40</f>
        <v>0.75</v>
      </c>
      <c r="AB235" s="217">
        <f t="shared" si="220"/>
        <v>0.75</v>
      </c>
      <c r="AC235" s="216">
        <f t="shared" si="221"/>
        <v>0.75</v>
      </c>
      <c r="AD235" s="213"/>
      <c r="AE235" s="218">
        <f>+'Plan de Accion apoyo transversa'!BX40</f>
        <v>0.25</v>
      </c>
      <c r="AF235" s="248">
        <f>+'Plan de Accion apoyo transversa'!CK40</f>
        <v>1</v>
      </c>
      <c r="AG235" s="212">
        <f t="shared" si="222"/>
        <v>1</v>
      </c>
      <c r="AH235" s="248">
        <f>+'Plan de Accion apoyo transversa'!CB40</f>
        <v>1</v>
      </c>
      <c r="AI235" s="211">
        <f t="shared" si="223"/>
        <v>1</v>
      </c>
      <c r="AJ235" s="328"/>
      <c r="AL235" s="326"/>
      <c r="AM235" s="326"/>
      <c r="AN235" s="204"/>
      <c r="AO235" s="329"/>
      <c r="AP235" s="326"/>
      <c r="AQ235" s="204"/>
      <c r="AR235" s="326"/>
      <c r="AS235" s="326"/>
      <c r="AT235" s="204"/>
      <c r="AU235" s="326"/>
      <c r="AV235" s="326"/>
      <c r="AW235" s="202"/>
      <c r="AX235" s="327"/>
      <c r="AZ235" s="326"/>
      <c r="BA235" s="326"/>
      <c r="BB235" s="204"/>
      <c r="BC235" s="329"/>
      <c r="BD235" s="326"/>
      <c r="BE235" s="204"/>
      <c r="BF235" s="326"/>
      <c r="BG235" s="326"/>
      <c r="BH235" s="204"/>
      <c r="BI235" s="326"/>
      <c r="BJ235" s="326"/>
      <c r="BK235" s="202"/>
      <c r="BL235" s="327"/>
      <c r="BN235" s="326"/>
      <c r="BO235" s="326"/>
      <c r="BP235" s="204"/>
      <c r="BQ235" s="329"/>
      <c r="BR235" s="326"/>
      <c r="BS235" s="204"/>
      <c r="BT235" s="326"/>
      <c r="BU235" s="326"/>
      <c r="BV235" s="204"/>
      <c r="BW235" s="326"/>
      <c r="BX235" s="326"/>
      <c r="BY235" s="202"/>
      <c r="BZ235" s="327"/>
      <c r="CB235" s="326"/>
      <c r="CC235" s="326"/>
      <c r="CD235" s="204"/>
      <c r="CE235" s="329"/>
      <c r="CF235" s="326"/>
      <c r="CG235" s="204"/>
      <c r="CH235" s="326"/>
      <c r="CI235" s="326"/>
      <c r="CJ235" s="204"/>
      <c r="CK235" s="326"/>
      <c r="CL235" s="326"/>
      <c r="CM235" s="202"/>
      <c r="CN235" s="327"/>
    </row>
    <row r="236" spans="2:92" ht="71.25" x14ac:dyDescent="0.2">
      <c r="B236" s="1469"/>
      <c r="C236" s="1478" t="s">
        <v>60</v>
      </c>
      <c r="D236" s="1544" t="s">
        <v>204</v>
      </c>
      <c r="E236" s="1584" t="s">
        <v>125</v>
      </c>
      <c r="F236" s="1554" t="s">
        <v>330</v>
      </c>
      <c r="G236" s="315" t="str">
        <f>+'Plan de Accion ajustes normativ'!I8</f>
        <v>Propuesta de articulado para inclusión en el proyecto del Plan Nacional de Desarrollo aprobada por Min Salud</v>
      </c>
      <c r="H236" s="215" t="str">
        <f>+'Plan de Accion ajustes normativ'!V8</f>
        <v># Propuestas aprobadas por el Min Salud</v>
      </c>
      <c r="I236" s="172"/>
      <c r="J236" s="218">
        <f>+'Plan de Accion ajustes normativ'!AE8</f>
        <v>1</v>
      </c>
      <c r="K236" s="476">
        <f>+'Plan de Accion ajustes normativ'!BP8</f>
        <v>1</v>
      </c>
      <c r="L236" s="476">
        <f t="shared" si="232"/>
        <v>1</v>
      </c>
      <c r="M236" s="476">
        <f>+'Plan de Accion ajustes normativ'!AI8</f>
        <v>1</v>
      </c>
      <c r="N236" s="476">
        <f t="shared" si="117"/>
        <v>1</v>
      </c>
      <c r="O236" s="478">
        <f t="shared" si="234"/>
        <v>1</v>
      </c>
      <c r="P236" s="340"/>
      <c r="Q236" s="219">
        <f>+'Plan de Accion ajustes normativ'!AO8</f>
        <v>0</v>
      </c>
      <c r="R236" s="248" t="str">
        <f>+'Plan de Accion ajustes normativ'!BR8</f>
        <v>No Prog ni Ejec</v>
      </c>
      <c r="S236" s="212" t="s">
        <v>204</v>
      </c>
      <c r="T236" s="304">
        <f>+'Plan de Accion ajustes normativ'!AS8</f>
        <v>1</v>
      </c>
      <c r="U236" s="304">
        <f t="shared" ref="U236:U249" si="243">IF(T236&gt;100%,100%,T236)</f>
        <v>1</v>
      </c>
      <c r="V236" s="211">
        <f t="shared" si="218"/>
        <v>1</v>
      </c>
      <c r="W236" s="784"/>
      <c r="X236" s="219">
        <f>+'Plan de Accion ajustes normativ'!AY8</f>
        <v>0</v>
      </c>
      <c r="Y236" s="248" t="str">
        <f>+'Plan de Accion ajustes normativ'!BT8</f>
        <v>No Prog ni Ejec</v>
      </c>
      <c r="Z236" s="212" t="s">
        <v>204</v>
      </c>
      <c r="AA236" s="217">
        <f>+'Plan de Accion ajustes normativ'!BC8</f>
        <v>1</v>
      </c>
      <c r="AB236" s="217">
        <f t="shared" ref="AB236:AB249" si="244">IF(AA236&gt;100%,100%,AA236)</f>
        <v>1</v>
      </c>
      <c r="AC236" s="216">
        <f t="shared" si="221"/>
        <v>1</v>
      </c>
      <c r="AD236" s="340"/>
      <c r="AE236" s="219">
        <f>+'Plan de Accion ajustes normativ'!BI8</f>
        <v>0</v>
      </c>
      <c r="AF236" s="248" t="str">
        <f>+'Plan de Accion ajustes normativ'!BV8</f>
        <v>No Prog ni Ejec</v>
      </c>
      <c r="AG236" s="212" t="s">
        <v>204</v>
      </c>
      <c r="AH236" s="248">
        <f>+'Plan de Accion ajustes normativ'!BM8</f>
        <v>1</v>
      </c>
      <c r="AI236" s="211">
        <f t="shared" ref="AI236:AI249" si="245">IF(AH236&gt;100%,100%,AH236)</f>
        <v>1</v>
      </c>
      <c r="AJ236" s="210"/>
      <c r="AL236" s="207"/>
      <c r="AM236" s="207"/>
      <c r="AN236" s="204"/>
      <c r="AO236" s="208"/>
      <c r="AP236" s="207"/>
      <c r="AQ236" s="204"/>
      <c r="AR236" s="207"/>
      <c r="AS236" s="207"/>
      <c r="AT236" s="204"/>
      <c r="AU236" s="207"/>
      <c r="AV236" s="207"/>
      <c r="AW236" s="202"/>
      <c r="AX236" s="206"/>
      <c r="AZ236" s="207"/>
      <c r="BA236" s="207"/>
      <c r="BB236" s="204"/>
      <c r="BC236" s="208"/>
      <c r="BD236" s="207"/>
      <c r="BE236" s="204"/>
      <c r="BF236" s="207"/>
      <c r="BG236" s="207"/>
      <c r="BH236" s="204"/>
      <c r="BI236" s="207"/>
      <c r="BJ236" s="207"/>
      <c r="BK236" s="202"/>
      <c r="BL236" s="206"/>
      <c r="BN236" s="207"/>
      <c r="BO236" s="207"/>
      <c r="BP236" s="204"/>
      <c r="BQ236" s="208"/>
      <c r="BR236" s="207"/>
      <c r="BS236" s="204"/>
      <c r="BT236" s="207"/>
      <c r="BU236" s="207"/>
      <c r="BV236" s="204"/>
      <c r="BW236" s="207"/>
      <c r="BX236" s="207"/>
      <c r="BY236" s="202"/>
      <c r="BZ236" s="206"/>
      <c r="CB236" s="207"/>
      <c r="CC236" s="207"/>
      <c r="CD236" s="204"/>
      <c r="CE236" s="208"/>
      <c r="CF236" s="207"/>
      <c r="CG236" s="204"/>
      <c r="CH236" s="207"/>
      <c r="CI236" s="207"/>
      <c r="CJ236" s="204"/>
      <c r="CK236" s="207"/>
      <c r="CL236" s="207"/>
      <c r="CM236" s="202"/>
      <c r="CN236" s="206"/>
    </row>
    <row r="237" spans="2:92" ht="64.5" customHeight="1" x14ac:dyDescent="0.2">
      <c r="B237" s="1469"/>
      <c r="C237" s="1478"/>
      <c r="D237" s="1544"/>
      <c r="E237" s="1584"/>
      <c r="F237" s="1554"/>
      <c r="G237" s="315" t="str">
        <f>+'Plan de Accion ajustes normativ'!I9</f>
        <v>Propuesta de articulado para inclusión en el proyecto del Plan Nacional de Desarrollo aprobada por Min Salud</v>
      </c>
      <c r="H237" s="215" t="str">
        <f>+'Plan de Accion ajustes normativ'!V9</f>
        <v># Propuestas aprobadas por el Min Salud</v>
      </c>
      <c r="I237" s="172"/>
      <c r="J237" s="218">
        <f>+'Plan de Accion ajustes normativ'!AE9</f>
        <v>1</v>
      </c>
      <c r="K237" s="476">
        <f>+'Plan de Accion ajustes normativ'!BP9</f>
        <v>1</v>
      </c>
      <c r="L237" s="476">
        <f t="shared" si="232"/>
        <v>1</v>
      </c>
      <c r="M237" s="476">
        <f>+'Plan de Accion ajustes normativ'!AI9</f>
        <v>1</v>
      </c>
      <c r="N237" s="476">
        <f t="shared" si="117"/>
        <v>1</v>
      </c>
      <c r="O237" s="478">
        <f t="shared" si="234"/>
        <v>1</v>
      </c>
      <c r="P237" s="340"/>
      <c r="Q237" s="218">
        <f>+'Plan de Accion ajustes normativ'!AO9</f>
        <v>0</v>
      </c>
      <c r="R237" s="248" t="str">
        <f>+'Plan de Accion ajustes normativ'!BR9</f>
        <v>No Prog ni Ejec</v>
      </c>
      <c r="S237" s="212" t="s">
        <v>204</v>
      </c>
      <c r="T237" s="304">
        <f>+'Plan de Accion ajustes normativ'!AS9</f>
        <v>1</v>
      </c>
      <c r="U237" s="304">
        <f t="shared" si="243"/>
        <v>1</v>
      </c>
      <c r="V237" s="211">
        <f t="shared" si="218"/>
        <v>1</v>
      </c>
      <c r="W237" s="784"/>
      <c r="X237" s="219">
        <f>+'Plan de Accion ajustes normativ'!AY9</f>
        <v>0</v>
      </c>
      <c r="Y237" s="248" t="str">
        <f>+'Plan de Accion ajustes normativ'!BT9</f>
        <v>No Prog ni Ejec</v>
      </c>
      <c r="Z237" s="212" t="s">
        <v>204</v>
      </c>
      <c r="AA237" s="217">
        <f>+'Plan de Accion ajustes normativ'!BC9</f>
        <v>1</v>
      </c>
      <c r="AB237" s="217">
        <f t="shared" si="244"/>
        <v>1</v>
      </c>
      <c r="AC237" s="216">
        <f t="shared" si="221"/>
        <v>1</v>
      </c>
      <c r="AD237" s="340"/>
      <c r="AE237" s="219">
        <f>+'Plan de Accion ajustes normativ'!BI9</f>
        <v>0</v>
      </c>
      <c r="AF237" s="248" t="str">
        <f>+'Plan de Accion ajustes normativ'!BV9</f>
        <v>No Prog ni Ejec</v>
      </c>
      <c r="AG237" s="212" t="s">
        <v>204</v>
      </c>
      <c r="AH237" s="248">
        <f>+'Plan de Accion ajustes normativ'!BM9</f>
        <v>1</v>
      </c>
      <c r="AI237" s="211">
        <f t="shared" si="245"/>
        <v>1</v>
      </c>
      <c r="AJ237" s="210"/>
      <c r="AL237" s="207"/>
      <c r="AM237" s="207"/>
      <c r="AN237" s="204"/>
      <c r="AO237" s="208"/>
      <c r="AP237" s="207"/>
      <c r="AQ237" s="204"/>
      <c r="AR237" s="207"/>
      <c r="AS237" s="207"/>
      <c r="AT237" s="204"/>
      <c r="AU237" s="207"/>
      <c r="AV237" s="207"/>
      <c r="AW237" s="202"/>
      <c r="AX237" s="206"/>
      <c r="AZ237" s="207"/>
      <c r="BA237" s="207"/>
      <c r="BB237" s="204"/>
      <c r="BC237" s="208"/>
      <c r="BD237" s="207"/>
      <c r="BE237" s="204"/>
      <c r="BF237" s="207"/>
      <c r="BG237" s="207"/>
      <c r="BH237" s="204"/>
      <c r="BI237" s="207"/>
      <c r="BJ237" s="207"/>
      <c r="BK237" s="202"/>
      <c r="BL237" s="206"/>
      <c r="BN237" s="207"/>
      <c r="BO237" s="207"/>
      <c r="BP237" s="204"/>
      <c r="BQ237" s="208"/>
      <c r="BR237" s="207"/>
      <c r="BS237" s="204"/>
      <c r="BT237" s="207"/>
      <c r="BU237" s="207"/>
      <c r="BV237" s="204"/>
      <c r="BW237" s="207"/>
      <c r="BX237" s="207"/>
      <c r="BY237" s="202"/>
      <c r="BZ237" s="206"/>
      <c r="CB237" s="207"/>
      <c r="CC237" s="207"/>
      <c r="CD237" s="204"/>
      <c r="CE237" s="208"/>
      <c r="CF237" s="207"/>
      <c r="CG237" s="204"/>
      <c r="CH237" s="207"/>
      <c r="CI237" s="207"/>
      <c r="CJ237" s="204"/>
      <c r="CK237" s="207"/>
      <c r="CL237" s="207"/>
      <c r="CM237" s="202"/>
      <c r="CN237" s="206"/>
    </row>
    <row r="238" spans="2:92" ht="64.5" customHeight="1" thickBot="1" x14ac:dyDescent="0.25">
      <c r="B238" s="1469"/>
      <c r="C238" s="1550" t="s">
        <v>94</v>
      </c>
      <c r="D238" s="1436" t="s">
        <v>204</v>
      </c>
      <c r="E238" s="1442" t="s">
        <v>1</v>
      </c>
      <c r="F238" s="1442" t="s">
        <v>330</v>
      </c>
      <c r="G238" s="315" t="str">
        <f>+'Plan de Accion apoyo transversa'!X10</f>
        <v>Informe mensual de monitoreo de la actividad en redes sociales y medios de comunicación asociados a la ADRES.</v>
      </c>
      <c r="H238" s="215" t="str">
        <f>+'Plan de Accion apoyo transversa'!AK10</f>
        <v># Informes sobre las actividades en redes sociales y medios de comunicación asociada a la ADRES presentados.</v>
      </c>
      <c r="J238" s="218">
        <f>+'Plan de Accion apoyo transversa'!AT10</f>
        <v>3</v>
      </c>
      <c r="K238" s="476">
        <f>+'Plan de Accion apoyo transversa'!CE10</f>
        <v>1</v>
      </c>
      <c r="L238" s="476">
        <f t="shared" si="232"/>
        <v>1</v>
      </c>
      <c r="M238" s="476">
        <f>+'Plan de Accion apoyo transversa'!AX10</f>
        <v>0.25</v>
      </c>
      <c r="N238" s="476">
        <f t="shared" si="117"/>
        <v>0.25</v>
      </c>
      <c r="O238" s="478">
        <f t="shared" si="234"/>
        <v>0.25</v>
      </c>
      <c r="P238" s="213"/>
      <c r="Q238" s="218">
        <f>+'Plan de Accion apoyo transversa'!BD10</f>
        <v>3</v>
      </c>
      <c r="R238" s="248">
        <f>+'Plan de Accion apoyo transversa'!CG10</f>
        <v>1</v>
      </c>
      <c r="S238" s="212">
        <f t="shared" ref="S238:S247" si="246">IF(R238&gt;100%,100%,R238)</f>
        <v>1</v>
      </c>
      <c r="T238" s="304">
        <f>+'Plan de Accion apoyo transversa'!BH10</f>
        <v>0.5</v>
      </c>
      <c r="U238" s="304">
        <f t="shared" si="243"/>
        <v>0.5</v>
      </c>
      <c r="V238" s="211">
        <f t="shared" ref="V238:V247" si="247">+U238</f>
        <v>0.5</v>
      </c>
      <c r="W238" s="213"/>
      <c r="X238" s="218">
        <f>+'Plan de Accion apoyo transversa'!BN10</f>
        <v>3</v>
      </c>
      <c r="Y238" s="248">
        <f>+'Plan de Accion apoyo transversa'!CI10</f>
        <v>1</v>
      </c>
      <c r="Z238" s="212">
        <f t="shared" ref="Z238:Z247" si="248">IF(Y238&gt;100%,100%,Y238)</f>
        <v>1</v>
      </c>
      <c r="AA238" s="217">
        <f>+'Plan de Accion apoyo transversa'!BR10</f>
        <v>0.75</v>
      </c>
      <c r="AB238" s="217">
        <f t="shared" si="244"/>
        <v>0.75</v>
      </c>
      <c r="AC238" s="216">
        <f t="shared" ref="AC238:AC247" si="249">+AB238</f>
        <v>0.75</v>
      </c>
      <c r="AD238" s="213"/>
      <c r="AE238" s="218">
        <f>+'Plan de Accion apoyo transversa'!BX10</f>
        <v>3</v>
      </c>
      <c r="AF238" s="248">
        <f>+'Plan de Accion apoyo transversa'!CK10</f>
        <v>1</v>
      </c>
      <c r="AG238" s="212">
        <f t="shared" ref="AG238:AG245" si="250">IF(AF238&gt;100%,100%,AF238)</f>
        <v>1</v>
      </c>
      <c r="AH238" s="248">
        <f>+'Plan de Accion apoyo transversa'!CB10</f>
        <v>1</v>
      </c>
      <c r="AI238" s="211">
        <f t="shared" si="245"/>
        <v>1</v>
      </c>
      <c r="AJ238" s="210"/>
      <c r="AL238" s="207"/>
      <c r="AM238" s="207"/>
      <c r="AN238" s="204"/>
      <c r="AO238" s="208"/>
      <c r="AP238" s="207"/>
      <c r="AQ238" s="204"/>
      <c r="AR238" s="207"/>
      <c r="AS238" s="207"/>
      <c r="AT238" s="204"/>
      <c r="AU238" s="207"/>
      <c r="AV238" s="207"/>
      <c r="AW238" s="202"/>
      <c r="AX238" s="206"/>
      <c r="AZ238" s="207"/>
      <c r="BA238" s="207"/>
      <c r="BB238" s="204"/>
      <c r="BC238" s="208"/>
      <c r="BD238" s="207"/>
      <c r="BE238" s="204"/>
      <c r="BF238" s="207"/>
      <c r="BG238" s="207"/>
      <c r="BH238" s="204"/>
      <c r="BI238" s="207"/>
      <c r="BJ238" s="207"/>
      <c r="BK238" s="202"/>
      <c r="BL238" s="206"/>
      <c r="BN238" s="207"/>
      <c r="BO238" s="207"/>
      <c r="BP238" s="204"/>
      <c r="BQ238" s="208"/>
      <c r="BR238" s="207"/>
      <c r="BS238" s="204"/>
      <c r="BT238" s="207"/>
      <c r="BU238" s="207"/>
      <c r="BV238" s="204"/>
      <c r="BW238" s="207"/>
      <c r="BX238" s="207"/>
      <c r="BY238" s="202"/>
      <c r="BZ238" s="206"/>
      <c r="CB238" s="207"/>
      <c r="CC238" s="207"/>
      <c r="CD238" s="204"/>
      <c r="CE238" s="208"/>
      <c r="CF238" s="207"/>
      <c r="CG238" s="204"/>
      <c r="CH238" s="207"/>
      <c r="CI238" s="207"/>
      <c r="CJ238" s="204"/>
      <c r="CK238" s="207"/>
      <c r="CL238" s="207"/>
      <c r="CM238" s="202"/>
      <c r="CN238" s="206"/>
    </row>
    <row r="239" spans="2:92" ht="71.25" x14ac:dyDescent="0.2">
      <c r="B239" s="1469"/>
      <c r="C239" s="1551"/>
      <c r="D239" s="1437"/>
      <c r="E239" s="1443"/>
      <c r="F239" s="1443"/>
      <c r="G239" s="1439" t="str">
        <f>+'Plan de Accion apoyo transversa'!X11</f>
        <v>Correos electrónicos con el monitoreo de noticias</v>
      </c>
      <c r="H239" s="215" t="str">
        <f>+'Plan de Accion apoyo transversa'!AK11</f>
        <v>((# de seguidores en Twitter periodo actual - # de seguidores en Twitter periodo anterior)/ # de seguidores en Twitter periodo anterior)</v>
      </c>
      <c r="J239" s="214">
        <f>+'Plan de Accion apoyo transversa'!AT11</f>
        <v>0.16063675832127353</v>
      </c>
      <c r="K239" s="1447">
        <f>AVERAGE('Plan de Accion apoyo transversa'!CE11:CE13)</f>
        <v>0.2141823444283647</v>
      </c>
      <c r="L239" s="1447">
        <f t="shared" si="232"/>
        <v>0.2141823444283647</v>
      </c>
      <c r="M239" s="1447">
        <f>AVERAGE('Plan de Accion apoyo transversa'!AX11:AX13)</f>
        <v>5.3545586107091175E-2</v>
      </c>
      <c r="N239" s="1447">
        <f t="shared" si="117"/>
        <v>5.3545586107091175E-2</v>
      </c>
      <c r="O239" s="1450">
        <f t="shared" si="234"/>
        <v>5.3545586107091175E-2</v>
      </c>
      <c r="P239" s="213"/>
      <c r="Q239" s="214" t="s">
        <v>204</v>
      </c>
      <c r="R239" s="1447" t="s">
        <v>180</v>
      </c>
      <c r="S239" s="1447" t="s">
        <v>204</v>
      </c>
      <c r="T239" s="1447">
        <f>AVERAGE('Plan de Accion apoyo transversa'!BH11:BH13)</f>
        <v>5.3545586107091175E-2</v>
      </c>
      <c r="U239" s="1447">
        <f t="shared" si="243"/>
        <v>5.3545586107091175E-2</v>
      </c>
      <c r="V239" s="1450">
        <f t="shared" si="247"/>
        <v>5.3545586107091175E-2</v>
      </c>
      <c r="W239" s="213"/>
      <c r="X239" s="214" t="s">
        <v>204</v>
      </c>
      <c r="Y239" s="1447" t="s">
        <v>180</v>
      </c>
      <c r="Z239" s="1447" t="s">
        <v>204</v>
      </c>
      <c r="AA239" s="1447">
        <f>AVERAGE('Plan de Accion apoyo transversa'!BR11:BR13)</f>
        <v>5.3545586107091175E-2</v>
      </c>
      <c r="AB239" s="1447">
        <f t="shared" si="244"/>
        <v>5.3545586107091175E-2</v>
      </c>
      <c r="AC239" s="1450">
        <f t="shared" si="249"/>
        <v>5.3545586107091175E-2</v>
      </c>
      <c r="AD239" s="213"/>
      <c r="AE239" s="214" t="s">
        <v>204</v>
      </c>
      <c r="AF239" s="1447" t="s">
        <v>180</v>
      </c>
      <c r="AG239" s="1447" t="s">
        <v>204</v>
      </c>
      <c r="AH239" s="1447">
        <f>AVERAGE('Plan de Accion apoyo transversa'!CB11:CB13)</f>
        <v>5.3545586107091175E-2</v>
      </c>
      <c r="AI239" s="1447">
        <f>IF(AH239&gt;100%,100%,AH239)</f>
        <v>5.3545586107091175E-2</v>
      </c>
      <c r="AJ239" s="232"/>
      <c r="AL239" s="1499"/>
      <c r="AM239" s="1499"/>
      <c r="AN239" s="204"/>
      <c r="AO239" s="1500"/>
      <c r="AP239" s="1499"/>
      <c r="AQ239" s="204"/>
      <c r="AR239" s="1499"/>
      <c r="AS239" s="1499"/>
      <c r="AT239" s="204"/>
      <c r="AU239" s="1499"/>
      <c r="AV239" s="1499"/>
      <c r="AW239" s="202"/>
      <c r="AX239" s="231"/>
      <c r="AZ239" s="1499"/>
      <c r="BA239" s="1499"/>
      <c r="BB239" s="204"/>
      <c r="BC239" s="1500"/>
      <c r="BD239" s="1499"/>
      <c r="BE239" s="204"/>
      <c r="BF239" s="1499"/>
      <c r="BG239" s="1499"/>
      <c r="BH239" s="204"/>
      <c r="BI239" s="1499"/>
      <c r="BJ239" s="1499"/>
      <c r="BK239" s="202"/>
      <c r="BL239" s="231"/>
      <c r="BN239" s="1499"/>
      <c r="BO239" s="1499"/>
      <c r="BP239" s="204"/>
      <c r="BQ239" s="1500"/>
      <c r="BR239" s="1499"/>
      <c r="BS239" s="204"/>
      <c r="BT239" s="1499"/>
      <c r="BU239" s="1499"/>
      <c r="BV239" s="204"/>
      <c r="BW239" s="1499"/>
      <c r="BX239" s="1499"/>
      <c r="BY239" s="202"/>
      <c r="BZ239" s="231"/>
      <c r="CB239" s="1499"/>
      <c r="CC239" s="1499"/>
      <c r="CD239" s="204"/>
      <c r="CE239" s="1500"/>
      <c r="CF239" s="1499"/>
      <c r="CG239" s="204"/>
      <c r="CH239" s="1499"/>
      <c r="CI239" s="1499"/>
      <c r="CJ239" s="204"/>
      <c r="CK239" s="1499"/>
      <c r="CL239" s="1499"/>
      <c r="CM239" s="202"/>
      <c r="CN239" s="231"/>
    </row>
    <row r="240" spans="2:92" ht="71.25" x14ac:dyDescent="0.2">
      <c r="B240" s="1469"/>
      <c r="C240" s="1551"/>
      <c r="D240" s="1437"/>
      <c r="E240" s="1443"/>
      <c r="F240" s="1443"/>
      <c r="G240" s="1440"/>
      <c r="H240" s="215" t="str">
        <f>+'Plan de Accion apoyo transversa'!AK12</f>
        <v>((#Visitas Página WEB periodo actual - # Visitas Página WEB periodo anterior) / # Visitas Página WEB periodo anterior)</v>
      </c>
      <c r="J240" s="214">
        <f>+'Plan de Accion apoyo transversa'!AT12</f>
        <v>0</v>
      </c>
      <c r="K240" s="1448"/>
      <c r="L240" s="1448"/>
      <c r="M240" s="1448"/>
      <c r="N240" s="1448"/>
      <c r="O240" s="1451"/>
      <c r="P240" s="213"/>
      <c r="Q240" s="214" t="s">
        <v>204</v>
      </c>
      <c r="R240" s="1448"/>
      <c r="S240" s="1448"/>
      <c r="T240" s="1448"/>
      <c r="U240" s="1448"/>
      <c r="V240" s="1451"/>
      <c r="W240" s="213"/>
      <c r="X240" s="214" t="s">
        <v>204</v>
      </c>
      <c r="Y240" s="1448"/>
      <c r="Z240" s="1448"/>
      <c r="AA240" s="1448"/>
      <c r="AB240" s="1448"/>
      <c r="AC240" s="1451"/>
      <c r="AD240" s="213"/>
      <c r="AE240" s="214" t="s">
        <v>204</v>
      </c>
      <c r="AF240" s="1448"/>
      <c r="AG240" s="1448"/>
      <c r="AH240" s="1448"/>
      <c r="AI240" s="1448"/>
      <c r="AJ240" s="230"/>
      <c r="AL240" s="1488"/>
      <c r="AM240" s="1488"/>
      <c r="AN240" s="204"/>
      <c r="AO240" s="1501"/>
      <c r="AP240" s="1488"/>
      <c r="AQ240" s="204"/>
      <c r="AR240" s="1488"/>
      <c r="AS240" s="1488"/>
      <c r="AT240" s="204"/>
      <c r="AU240" s="1488"/>
      <c r="AV240" s="1488"/>
      <c r="AW240" s="202"/>
      <c r="AX240" s="229"/>
      <c r="AZ240" s="1488"/>
      <c r="BA240" s="1488"/>
      <c r="BB240" s="204"/>
      <c r="BC240" s="1501"/>
      <c r="BD240" s="1488"/>
      <c r="BE240" s="204"/>
      <c r="BF240" s="1488"/>
      <c r="BG240" s="1488"/>
      <c r="BH240" s="204"/>
      <c r="BI240" s="1488"/>
      <c r="BJ240" s="1488"/>
      <c r="BK240" s="202"/>
      <c r="BL240" s="229"/>
      <c r="BN240" s="1488"/>
      <c r="BO240" s="1488"/>
      <c r="BP240" s="204"/>
      <c r="BQ240" s="1501"/>
      <c r="BR240" s="1488"/>
      <c r="BS240" s="204"/>
      <c r="BT240" s="1488"/>
      <c r="BU240" s="1488"/>
      <c r="BV240" s="204"/>
      <c r="BW240" s="1488"/>
      <c r="BX240" s="1488"/>
      <c r="BY240" s="202"/>
      <c r="BZ240" s="229"/>
      <c r="CB240" s="1488"/>
      <c r="CC240" s="1488"/>
      <c r="CD240" s="204"/>
      <c r="CE240" s="1501"/>
      <c r="CF240" s="1488"/>
      <c r="CG240" s="204"/>
      <c r="CH240" s="1488"/>
      <c r="CI240" s="1488"/>
      <c r="CJ240" s="204"/>
      <c r="CK240" s="1488"/>
      <c r="CL240" s="1488"/>
      <c r="CM240" s="202"/>
      <c r="CN240" s="229"/>
    </row>
    <row r="241" spans="2:92" ht="53.25" customHeight="1" thickBot="1" x14ac:dyDescent="0.25">
      <c r="B241" s="1469"/>
      <c r="C241" s="1551"/>
      <c r="D241" s="1438"/>
      <c r="E241" s="1443"/>
      <c r="F241" s="1443"/>
      <c r="G241" s="1441"/>
      <c r="H241" s="215" t="str">
        <f>+'Plan de Accion apoyo transversa'!AK13</f>
        <v>#Noticias Positivas en el periodo/#Noticias Negativas en el mismo periodo.</v>
      </c>
      <c r="J241" s="218">
        <f>+'Plan de Accion apoyo transversa'!AT13</f>
        <v>0</v>
      </c>
      <c r="K241" s="1449"/>
      <c r="L241" s="1449"/>
      <c r="M241" s="1449"/>
      <c r="N241" s="1449"/>
      <c r="O241" s="1452"/>
      <c r="P241" s="213"/>
      <c r="Q241" s="218" t="s">
        <v>204</v>
      </c>
      <c r="R241" s="1449"/>
      <c r="S241" s="1449"/>
      <c r="T241" s="1449"/>
      <c r="U241" s="1449"/>
      <c r="V241" s="1452"/>
      <c r="W241" s="213"/>
      <c r="X241" s="218" t="s">
        <v>204</v>
      </c>
      <c r="Y241" s="1449"/>
      <c r="Z241" s="1449"/>
      <c r="AA241" s="1449"/>
      <c r="AB241" s="1449"/>
      <c r="AC241" s="1452"/>
      <c r="AD241" s="213"/>
      <c r="AE241" s="218" t="s">
        <v>204</v>
      </c>
      <c r="AF241" s="1449"/>
      <c r="AG241" s="1449"/>
      <c r="AH241" s="1449"/>
      <c r="AI241" s="1449"/>
      <c r="AJ241" s="228"/>
      <c r="AL241" s="1489"/>
      <c r="AM241" s="1489"/>
      <c r="AN241" s="204"/>
      <c r="AO241" s="1502"/>
      <c r="AP241" s="1489"/>
      <c r="AQ241" s="204"/>
      <c r="AR241" s="1489"/>
      <c r="AS241" s="1489"/>
      <c r="AT241" s="204"/>
      <c r="AU241" s="1489"/>
      <c r="AV241" s="1489"/>
      <c r="AW241" s="202"/>
      <c r="AX241" s="227"/>
      <c r="AZ241" s="1489"/>
      <c r="BA241" s="1489"/>
      <c r="BB241" s="204"/>
      <c r="BC241" s="1502"/>
      <c r="BD241" s="1489"/>
      <c r="BE241" s="204"/>
      <c r="BF241" s="1489"/>
      <c r="BG241" s="1489"/>
      <c r="BH241" s="204"/>
      <c r="BI241" s="1489"/>
      <c r="BJ241" s="1489"/>
      <c r="BK241" s="202"/>
      <c r="BL241" s="227"/>
      <c r="BN241" s="1489"/>
      <c r="BO241" s="1489"/>
      <c r="BP241" s="204"/>
      <c r="BQ241" s="1502"/>
      <c r="BR241" s="1489"/>
      <c r="BS241" s="204"/>
      <c r="BT241" s="1489"/>
      <c r="BU241" s="1489"/>
      <c r="BV241" s="204"/>
      <c r="BW241" s="1489"/>
      <c r="BX241" s="1489"/>
      <c r="BY241" s="202"/>
      <c r="BZ241" s="227"/>
      <c r="CB241" s="1489"/>
      <c r="CC241" s="1489"/>
      <c r="CD241" s="204"/>
      <c r="CE241" s="1502"/>
      <c r="CF241" s="1489"/>
      <c r="CG241" s="204"/>
      <c r="CH241" s="1489"/>
      <c r="CI241" s="1489"/>
      <c r="CJ241" s="204"/>
      <c r="CK241" s="1489"/>
      <c r="CL241" s="1489"/>
      <c r="CM241" s="202"/>
      <c r="CN241" s="227"/>
    </row>
    <row r="242" spans="2:92" ht="53.25" customHeight="1" x14ac:dyDescent="0.2">
      <c r="B242" s="1469"/>
      <c r="C242" s="1551"/>
      <c r="D242" s="547" t="s">
        <v>204</v>
      </c>
      <c r="E242" s="1443"/>
      <c r="F242" s="1443"/>
      <c r="G242" s="550" t="str">
        <f>+'Plan de Accion apoyo transversa'!X185</f>
        <v>Estrategia de comunicación Interna de la ADRES.</v>
      </c>
      <c r="H242" s="215" t="str">
        <f>+'Plan de Accion apoyo transversa'!AK185</f>
        <v># Documentos estrategia de comunicación Interna de la ADRES.</v>
      </c>
      <c r="J242" s="218">
        <f>+'Plan de Accion apoyo transversa'!AT185</f>
        <v>0</v>
      </c>
      <c r="K242" s="544" t="str">
        <f>+'Plan de Accion apoyo transversa'!CE185</f>
        <v>No Prog ni Ejec</v>
      </c>
      <c r="L242" s="544" t="s">
        <v>204</v>
      </c>
      <c r="M242" s="544" t="s">
        <v>204</v>
      </c>
      <c r="N242" s="544" t="s">
        <v>204</v>
      </c>
      <c r="O242" s="546" t="s">
        <v>204</v>
      </c>
      <c r="P242" s="213"/>
      <c r="Q242" s="218">
        <f>+'Plan de Accion apoyo transversa'!BD185</f>
        <v>0</v>
      </c>
      <c r="R242" s="248" t="str">
        <f>+'Plan de Accion apoyo transversa'!CG185</f>
        <v>No Prog ni Ejec</v>
      </c>
      <c r="S242" s="212" t="s">
        <v>204</v>
      </c>
      <c r="T242" s="650">
        <f>+'Plan de Accion apoyo transversa'!BH185</f>
        <v>0</v>
      </c>
      <c r="U242" s="650">
        <f t="shared" ref="U242:U243" si="251">IF(T242&gt;100%,100%,T242)</f>
        <v>0</v>
      </c>
      <c r="V242" s="211" t="s">
        <v>204</v>
      </c>
      <c r="W242" s="213"/>
      <c r="X242" s="218">
        <f>+'Plan de Accion apoyo transversa'!BN185</f>
        <v>0</v>
      </c>
      <c r="Y242" s="248" t="str">
        <f>+'Plan de Accion apoyo transversa'!CI185</f>
        <v>No Prog ni Ejec</v>
      </c>
      <c r="Z242" s="212" t="s">
        <v>204</v>
      </c>
      <c r="AA242" s="217">
        <f>+'Plan de Accion apoyo transversa'!BR185</f>
        <v>0</v>
      </c>
      <c r="AB242" s="217">
        <f t="shared" ref="AB242" si="252">IF(AA242&gt;100%,100%,AA242)</f>
        <v>0</v>
      </c>
      <c r="AC242" s="216" t="s">
        <v>204</v>
      </c>
      <c r="AD242" s="213"/>
      <c r="AE242" s="218">
        <f>+'Plan de Accion apoyo transversa'!BX185</f>
        <v>1</v>
      </c>
      <c r="AF242" s="248">
        <f>+'Plan de Accion apoyo transversa'!CK185</f>
        <v>1</v>
      </c>
      <c r="AG242" s="212">
        <f t="shared" ref="AG242" si="253">IF(AF242&gt;100%,100%,AF242)</f>
        <v>1</v>
      </c>
      <c r="AH242" s="248">
        <f>+'Plan de Accion apoyo transversa'!CB185</f>
        <v>1</v>
      </c>
      <c r="AI242" s="211">
        <f t="shared" ref="AI242" si="254">IF(AH242&gt;100%,100%,AH242)</f>
        <v>1</v>
      </c>
      <c r="AJ242" s="230"/>
      <c r="AL242" s="551"/>
      <c r="AM242" s="551"/>
      <c r="AN242" s="204"/>
      <c r="AO242" s="554"/>
      <c r="AP242" s="551"/>
      <c r="AQ242" s="204"/>
      <c r="AR242" s="551"/>
      <c r="AS242" s="551"/>
      <c r="AT242" s="204"/>
      <c r="AU242" s="551"/>
      <c r="AV242" s="551"/>
      <c r="AW242" s="202"/>
      <c r="AX242" s="229"/>
      <c r="AZ242" s="551"/>
      <c r="BA242" s="551"/>
      <c r="BB242" s="204"/>
      <c r="BC242" s="554"/>
      <c r="BD242" s="551"/>
      <c r="BE242" s="204"/>
      <c r="BF242" s="551"/>
      <c r="BG242" s="551"/>
      <c r="BH242" s="204"/>
      <c r="BI242" s="551"/>
      <c r="BJ242" s="551"/>
      <c r="BK242" s="202"/>
      <c r="BL242" s="229"/>
      <c r="BN242" s="551"/>
      <c r="BO242" s="551"/>
      <c r="BP242" s="204"/>
      <c r="BQ242" s="554"/>
      <c r="BR242" s="551"/>
      <c r="BS242" s="204"/>
      <c r="BT242" s="551"/>
      <c r="BU242" s="551"/>
      <c r="BV242" s="204"/>
      <c r="BW242" s="551"/>
      <c r="BX242" s="551"/>
      <c r="BY242" s="202"/>
      <c r="BZ242" s="229"/>
      <c r="CB242" s="551"/>
      <c r="CC242" s="551"/>
      <c r="CD242" s="204"/>
      <c r="CE242" s="554"/>
      <c r="CF242" s="551"/>
      <c r="CG242" s="204"/>
      <c r="CH242" s="551"/>
      <c r="CI242" s="551"/>
      <c r="CJ242" s="204"/>
      <c r="CK242" s="551"/>
      <c r="CL242" s="551"/>
      <c r="CM242" s="202"/>
      <c r="CN242" s="229"/>
    </row>
    <row r="243" spans="2:92" ht="53.25" customHeight="1" thickBot="1" x14ac:dyDescent="0.25">
      <c r="B243" s="1469"/>
      <c r="C243" s="1551"/>
      <c r="D243" s="547" t="s">
        <v>204</v>
      </c>
      <c r="E243" s="1444"/>
      <c r="F243" s="1444"/>
      <c r="G243" s="550" t="str">
        <f>+'Plan de Accion apoyo transversa'!X186</f>
        <v>Estrategia de comunicación digital de la ADRES.</v>
      </c>
      <c r="H243" s="215" t="str">
        <f>+'Plan de Accion apoyo transversa'!AK186</f>
        <v># Documentos estrategia de comunicación digital de la ADRES..</v>
      </c>
      <c r="J243" s="218">
        <f>+'Plan de Accion apoyo transversa'!AT186</f>
        <v>0</v>
      </c>
      <c r="K243" s="544" t="str">
        <f>+'Plan de Accion apoyo transversa'!CE186</f>
        <v>No Prog ni Ejec</v>
      </c>
      <c r="L243" s="544" t="s">
        <v>204</v>
      </c>
      <c r="M243" s="544" t="s">
        <v>204</v>
      </c>
      <c r="N243" s="544" t="s">
        <v>204</v>
      </c>
      <c r="O243" s="546" t="s">
        <v>204</v>
      </c>
      <c r="P243" s="213"/>
      <c r="Q243" s="218">
        <f>+'Plan de Accion apoyo transversa'!BD186</f>
        <v>0</v>
      </c>
      <c r="R243" s="248" t="str">
        <f>+'Plan de Accion apoyo transversa'!CG186</f>
        <v>No Prog ni Ejec</v>
      </c>
      <c r="S243" s="212" t="s">
        <v>204</v>
      </c>
      <c r="T243" s="650">
        <f>+'Plan de Accion apoyo transversa'!BH186</f>
        <v>0</v>
      </c>
      <c r="U243" s="650">
        <f t="shared" si="251"/>
        <v>0</v>
      </c>
      <c r="V243" s="211" t="s">
        <v>204</v>
      </c>
      <c r="W243" s="213"/>
      <c r="X243" s="218">
        <f>+'Plan de Accion apoyo transversa'!BN186</f>
        <v>1</v>
      </c>
      <c r="Y243" s="248">
        <f>+'Plan de Accion apoyo transversa'!CI186</f>
        <v>1</v>
      </c>
      <c r="Z243" s="212">
        <f t="shared" si="248"/>
        <v>1</v>
      </c>
      <c r="AA243" s="217">
        <f>+'Plan de Accion apoyo transversa'!BR186</f>
        <v>1</v>
      </c>
      <c r="AB243" s="217">
        <f t="shared" ref="AB243" si="255">IF(AA243&gt;100%,100%,AA243)</f>
        <v>1</v>
      </c>
      <c r="AC243" s="216">
        <f t="shared" ref="AC243" si="256">+AB243</f>
        <v>1</v>
      </c>
      <c r="AD243" s="213"/>
      <c r="AE243" s="218">
        <f>+'Plan de Accion apoyo transversa'!BX186</f>
        <v>0</v>
      </c>
      <c r="AF243" s="248" t="str">
        <f>+'Plan de Accion apoyo transversa'!CK186</f>
        <v>No Prog ni Ejec</v>
      </c>
      <c r="AG243" s="212" t="s">
        <v>204</v>
      </c>
      <c r="AH243" s="248">
        <f>+'Plan de Accion apoyo transversa'!CB186</f>
        <v>1</v>
      </c>
      <c r="AI243" s="211">
        <f t="shared" ref="AI243" si="257">IF(AH243&gt;100%,100%,AH243)</f>
        <v>1</v>
      </c>
      <c r="AJ243" s="230"/>
      <c r="AL243" s="551"/>
      <c r="AM243" s="551"/>
      <c r="AN243" s="204"/>
      <c r="AO243" s="554"/>
      <c r="AP243" s="551"/>
      <c r="AQ243" s="204"/>
      <c r="AR243" s="551"/>
      <c r="AS243" s="551"/>
      <c r="AT243" s="204"/>
      <c r="AU243" s="551"/>
      <c r="AV243" s="551"/>
      <c r="AW243" s="202"/>
      <c r="AX243" s="229"/>
      <c r="AZ243" s="551"/>
      <c r="BA243" s="551"/>
      <c r="BB243" s="204"/>
      <c r="BC243" s="554"/>
      <c r="BD243" s="551"/>
      <c r="BE243" s="204"/>
      <c r="BF243" s="551"/>
      <c r="BG243" s="551"/>
      <c r="BH243" s="204"/>
      <c r="BI243" s="551"/>
      <c r="BJ243" s="551"/>
      <c r="BK243" s="202"/>
      <c r="BL243" s="229"/>
      <c r="BN243" s="551"/>
      <c r="BO243" s="551"/>
      <c r="BP243" s="204"/>
      <c r="BQ243" s="554"/>
      <c r="BR243" s="551"/>
      <c r="BS243" s="204"/>
      <c r="BT243" s="551"/>
      <c r="BU243" s="551"/>
      <c r="BV243" s="204"/>
      <c r="BW243" s="551"/>
      <c r="BX243" s="551"/>
      <c r="BY243" s="202"/>
      <c r="BZ243" s="229"/>
      <c r="CB243" s="551"/>
      <c r="CC243" s="551"/>
      <c r="CD243" s="204"/>
      <c r="CE243" s="554"/>
      <c r="CF243" s="551"/>
      <c r="CG243" s="204"/>
      <c r="CH243" s="551"/>
      <c r="CI243" s="551"/>
      <c r="CJ243" s="204"/>
      <c r="CK243" s="551"/>
      <c r="CL243" s="551"/>
      <c r="CM243" s="202"/>
      <c r="CN243" s="229"/>
    </row>
    <row r="244" spans="2:92" ht="42.75" customHeight="1" x14ac:dyDescent="0.2">
      <c r="B244" s="1469"/>
      <c r="C244" s="1551"/>
      <c r="D244" s="298" t="s">
        <v>204</v>
      </c>
      <c r="E244" s="315" t="s">
        <v>1174</v>
      </c>
      <c r="F244" s="334" t="s">
        <v>336</v>
      </c>
      <c r="G244" s="315" t="str">
        <f>+'Plan de Accion apoyo transversa'!X18</f>
        <v>Reuniones de autocontrol y seguimiento a  los procesos que evidencien monitoreo a los riesgos, indicadores, planes de mejoramiento, manuales y documentos asociados</v>
      </c>
      <c r="H244" s="215" t="str">
        <f>+'Plan de Accion apoyo transversa'!AK18</f>
        <v># reuniones realizadas</v>
      </c>
      <c r="J244" s="218">
        <f>+'Plan de Accion apoyo transversa'!AT18</f>
        <v>0</v>
      </c>
      <c r="K244" s="476" t="str">
        <f>+'Plan de Accion apoyo transversa'!CE18</f>
        <v>No Prog ni Ejec</v>
      </c>
      <c r="L244" s="476" t="s">
        <v>204</v>
      </c>
      <c r="M244" s="476">
        <f>+'Plan de Accion apoyo transversa'!AX18</f>
        <v>0</v>
      </c>
      <c r="N244" s="476">
        <f t="shared" ref="N244:N306" si="258">IF(M244&gt;100%,100%,M244)</f>
        <v>0</v>
      </c>
      <c r="O244" s="478" t="s">
        <v>204</v>
      </c>
      <c r="P244" s="213"/>
      <c r="Q244" s="218">
        <f>+'Plan de Accion apoyo transversa'!BD18</f>
        <v>1</v>
      </c>
      <c r="R244" s="248">
        <f>+'Plan de Accion apoyo transversa'!CG18</f>
        <v>1</v>
      </c>
      <c r="S244" s="212">
        <f t="shared" si="246"/>
        <v>1</v>
      </c>
      <c r="T244" s="304">
        <f>+'Plan de Accion apoyo transversa'!BH18</f>
        <v>0.33333333333333331</v>
      </c>
      <c r="U244" s="304">
        <f t="shared" si="243"/>
        <v>0.33333333333333331</v>
      </c>
      <c r="V244" s="211">
        <f t="shared" si="247"/>
        <v>0.33333333333333331</v>
      </c>
      <c r="W244" s="213"/>
      <c r="X244" s="218">
        <f>+'Plan de Accion apoyo transversa'!BN18</f>
        <v>1</v>
      </c>
      <c r="Y244" s="248">
        <f>+'Plan de Accion apoyo transversa'!CI18</f>
        <v>1</v>
      </c>
      <c r="Z244" s="212">
        <f t="shared" si="248"/>
        <v>1</v>
      </c>
      <c r="AA244" s="217">
        <f>+'Plan de Accion apoyo transversa'!BR18</f>
        <v>0.66666666666666663</v>
      </c>
      <c r="AB244" s="217">
        <f t="shared" si="244"/>
        <v>0.66666666666666663</v>
      </c>
      <c r="AC244" s="216">
        <f t="shared" si="249"/>
        <v>0.66666666666666663</v>
      </c>
      <c r="AD244" s="213"/>
      <c r="AE244" s="218">
        <f>+'Plan de Accion apoyo transversa'!BX18</f>
        <v>1</v>
      </c>
      <c r="AF244" s="248">
        <f>+'Plan de Accion apoyo transversa'!CK18</f>
        <v>1</v>
      </c>
      <c r="AG244" s="212">
        <f t="shared" si="250"/>
        <v>1</v>
      </c>
      <c r="AH244" s="248">
        <f>+'Plan de Accion apoyo transversa'!CB18</f>
        <v>1</v>
      </c>
      <c r="AI244" s="211">
        <f t="shared" si="245"/>
        <v>1</v>
      </c>
      <c r="AJ244" s="210"/>
      <c r="AL244" s="1488"/>
      <c r="AM244" s="1499"/>
      <c r="AN244" s="204"/>
      <c r="AO244" s="1501"/>
      <c r="AP244" s="1499"/>
      <c r="AQ244" s="204"/>
      <c r="AR244" s="1488"/>
      <c r="AS244" s="1499"/>
      <c r="AT244" s="204"/>
      <c r="AU244" s="1488"/>
      <c r="AV244" s="1499"/>
      <c r="AW244" s="202"/>
      <c r="AX244" s="206"/>
      <c r="AZ244" s="1488"/>
      <c r="BA244" s="1499"/>
      <c r="BB244" s="204"/>
      <c r="BC244" s="1501"/>
      <c r="BD244" s="1499"/>
      <c r="BE244" s="204"/>
      <c r="BF244" s="1488"/>
      <c r="BG244" s="1499"/>
      <c r="BH244" s="204"/>
      <c r="BI244" s="1488"/>
      <c r="BJ244" s="1499"/>
      <c r="BK244" s="202"/>
      <c r="BL244" s="206"/>
      <c r="BN244" s="1488"/>
      <c r="BO244" s="1499"/>
      <c r="BP244" s="204"/>
      <c r="BQ244" s="1501"/>
      <c r="BR244" s="1499"/>
      <c r="BS244" s="204"/>
      <c r="BT244" s="1488"/>
      <c r="BU244" s="1499"/>
      <c r="BV244" s="204"/>
      <c r="BW244" s="1488"/>
      <c r="BX244" s="1499"/>
      <c r="BY244" s="202"/>
      <c r="BZ244" s="206"/>
      <c r="CB244" s="1488"/>
      <c r="CC244" s="1499"/>
      <c r="CD244" s="204"/>
      <c r="CE244" s="1501"/>
      <c r="CF244" s="1499"/>
      <c r="CG244" s="204"/>
      <c r="CH244" s="1488"/>
      <c r="CI244" s="1499"/>
      <c r="CJ244" s="204"/>
      <c r="CK244" s="1488"/>
      <c r="CL244" s="1499"/>
      <c r="CM244" s="202"/>
      <c r="CN244" s="206"/>
    </row>
    <row r="245" spans="2:92" ht="99.75" x14ac:dyDescent="0.2">
      <c r="B245" s="1469"/>
      <c r="C245" s="1551"/>
      <c r="D245" s="298" t="s">
        <v>204</v>
      </c>
      <c r="E245" s="315" t="s">
        <v>1175</v>
      </c>
      <c r="F245" s="334" t="s">
        <v>330</v>
      </c>
      <c r="G245" s="315" t="str">
        <f>+'Plan de Accion apoyo transversa'!X17</f>
        <v>SARL, SARC y SARM implementados</v>
      </c>
      <c r="H245" s="215" t="str">
        <f>+'Plan de Accion apoyo transversa'!AK17</f>
        <v># Actividades ejecutadas / # actividades programadas</v>
      </c>
      <c r="J245" s="214">
        <f>+'Plan de Accion apoyo transversa'!AT17</f>
        <v>0</v>
      </c>
      <c r="K245" s="476" t="str">
        <f>+'Plan de Accion apoyo transversa'!CE17</f>
        <v>No Prog ni Ejec</v>
      </c>
      <c r="L245" s="476" t="s">
        <v>204</v>
      </c>
      <c r="M245" s="476">
        <f>+'Plan de Accion apoyo transversa'!AX17</f>
        <v>0</v>
      </c>
      <c r="N245" s="476">
        <f t="shared" si="258"/>
        <v>0</v>
      </c>
      <c r="O245" s="478" t="s">
        <v>204</v>
      </c>
      <c r="P245" s="213"/>
      <c r="Q245" s="214">
        <f>+'Plan de Accion apoyo transversa'!BD17</f>
        <v>0</v>
      </c>
      <c r="R245" s="248" t="str">
        <f>+'Plan de Accion apoyo transversa'!CG17</f>
        <v>No Prog ni Ejec</v>
      </c>
      <c r="S245" s="212" t="s">
        <v>204</v>
      </c>
      <c r="T245" s="304">
        <f>+'Plan de Accion apoyo transversa'!BH17</f>
        <v>0</v>
      </c>
      <c r="U245" s="304">
        <f t="shared" si="243"/>
        <v>0</v>
      </c>
      <c r="V245" s="211" t="s">
        <v>204</v>
      </c>
      <c r="W245" s="213"/>
      <c r="X245" s="214">
        <f>+'Plan de Accion apoyo transversa'!BN17</f>
        <v>0.5</v>
      </c>
      <c r="Y245" s="248">
        <f>+'Plan de Accion apoyo transversa'!CI17</f>
        <v>1</v>
      </c>
      <c r="Z245" s="212">
        <f t="shared" si="248"/>
        <v>1</v>
      </c>
      <c r="AA245" s="217">
        <f>+'Plan de Accion apoyo transversa'!BR17</f>
        <v>0.5</v>
      </c>
      <c r="AB245" s="217">
        <f t="shared" si="244"/>
        <v>0.5</v>
      </c>
      <c r="AC245" s="216">
        <f t="shared" si="249"/>
        <v>0.5</v>
      </c>
      <c r="AD245" s="213"/>
      <c r="AE245" s="214">
        <f>+'Plan de Accion apoyo transversa'!BX17</f>
        <v>0.5</v>
      </c>
      <c r="AF245" s="248">
        <f>+'Plan de Accion apoyo transversa'!CK17</f>
        <v>1</v>
      </c>
      <c r="AG245" s="212">
        <f t="shared" si="250"/>
        <v>1</v>
      </c>
      <c r="AH245" s="248">
        <f>+'Plan de Accion apoyo transversa'!CB17</f>
        <v>1</v>
      </c>
      <c r="AI245" s="211">
        <f t="shared" si="245"/>
        <v>1</v>
      </c>
      <c r="AJ245" s="210"/>
      <c r="AL245" s="1488"/>
      <c r="AM245" s="1488"/>
      <c r="AN245" s="204"/>
      <c r="AO245" s="1501"/>
      <c r="AP245" s="1488"/>
      <c r="AQ245" s="204"/>
      <c r="AR245" s="1488"/>
      <c r="AS245" s="1488"/>
      <c r="AT245" s="204"/>
      <c r="AU245" s="1488"/>
      <c r="AV245" s="1488"/>
      <c r="AW245" s="202"/>
      <c r="AX245" s="206"/>
      <c r="AZ245" s="1488"/>
      <c r="BA245" s="1488"/>
      <c r="BB245" s="204"/>
      <c r="BC245" s="1501"/>
      <c r="BD245" s="1488"/>
      <c r="BE245" s="204"/>
      <c r="BF245" s="1488"/>
      <c r="BG245" s="1488"/>
      <c r="BH245" s="204"/>
      <c r="BI245" s="1488"/>
      <c r="BJ245" s="1488"/>
      <c r="BK245" s="202"/>
      <c r="BL245" s="206"/>
      <c r="BN245" s="1488"/>
      <c r="BO245" s="1488"/>
      <c r="BP245" s="204"/>
      <c r="BQ245" s="1501"/>
      <c r="BR245" s="1488"/>
      <c r="BS245" s="204"/>
      <c r="BT245" s="1488"/>
      <c r="BU245" s="1488"/>
      <c r="BV245" s="204"/>
      <c r="BW245" s="1488"/>
      <c r="BX245" s="1488"/>
      <c r="BY245" s="202"/>
      <c r="BZ245" s="206"/>
      <c r="CB245" s="1488"/>
      <c r="CC245" s="1488"/>
      <c r="CD245" s="204"/>
      <c r="CE245" s="1501"/>
      <c r="CF245" s="1488"/>
      <c r="CG245" s="204"/>
      <c r="CH245" s="1488"/>
      <c r="CI245" s="1488"/>
      <c r="CJ245" s="204"/>
      <c r="CK245" s="1488"/>
      <c r="CL245" s="1488"/>
      <c r="CM245" s="202"/>
      <c r="CN245" s="206"/>
    </row>
    <row r="246" spans="2:92" ht="57.75" customHeight="1" thickBot="1" x14ac:dyDescent="0.25">
      <c r="B246" s="1469"/>
      <c r="C246" s="1551"/>
      <c r="D246" s="1442" t="s">
        <v>204</v>
      </c>
      <c r="E246" s="1439" t="s">
        <v>1176</v>
      </c>
      <c r="F246" s="671" t="s">
        <v>336</v>
      </c>
      <c r="G246" s="315" t="str">
        <f>+'Plan de Accion apoyo transversa'!X19</f>
        <v>SARLAFT implementado</v>
      </c>
      <c r="H246" s="215" t="str">
        <f>+'Plan de Accion apoyo transversa'!AK19</f>
        <v># Actividades ejecutadas / # actividades programadas</v>
      </c>
      <c r="J246" s="214">
        <f>+'Plan de Accion apoyo transversa'!AT19</f>
        <v>0.2</v>
      </c>
      <c r="K246" s="476">
        <f>+'Plan de Accion apoyo transversa'!CE19</f>
        <v>0.44444444444444448</v>
      </c>
      <c r="L246" s="476">
        <f>IF(K246&gt;100%,100%,K246)</f>
        <v>0.44444444444444448</v>
      </c>
      <c r="M246" s="476">
        <f>+'Plan de Accion apoyo transversa'!AX19</f>
        <v>0.2</v>
      </c>
      <c r="N246" s="476">
        <f t="shared" si="258"/>
        <v>0.2</v>
      </c>
      <c r="O246" s="478">
        <f>+N246</f>
        <v>0.2</v>
      </c>
      <c r="P246" s="213"/>
      <c r="Q246" s="214">
        <f>+'Plan de Accion apoyo transversa'!BD19</f>
        <v>0.25</v>
      </c>
      <c r="R246" s="248">
        <f>+'Plan de Accion apoyo transversa'!CG19</f>
        <v>1.25</v>
      </c>
      <c r="S246" s="212">
        <f t="shared" si="246"/>
        <v>1</v>
      </c>
      <c r="T246" s="304">
        <f>+'Plan de Accion apoyo transversa'!BH19</f>
        <v>0.45</v>
      </c>
      <c r="U246" s="304">
        <f t="shared" si="243"/>
        <v>0.45</v>
      </c>
      <c r="V246" s="211">
        <f t="shared" si="247"/>
        <v>0.45</v>
      </c>
      <c r="W246" s="213">
        <v>1</v>
      </c>
      <c r="X246" s="214">
        <f>+'Plan de Accion apoyo transversa'!BN19</f>
        <v>0.41777777777777775</v>
      </c>
      <c r="Y246" s="248">
        <f>+'Plan de Accion apoyo transversa'!CI19</f>
        <v>1.1936507936507936</v>
      </c>
      <c r="Z246" s="212">
        <f t="shared" si="248"/>
        <v>1</v>
      </c>
      <c r="AA246" s="217">
        <f>+'Plan de Accion apoyo transversa'!BR19</f>
        <v>0.86777777777777776</v>
      </c>
      <c r="AB246" s="217">
        <f t="shared" si="244"/>
        <v>0.86777777777777776</v>
      </c>
      <c r="AC246" s="216">
        <f t="shared" si="249"/>
        <v>0.86777777777777776</v>
      </c>
      <c r="AD246" s="213">
        <v>1</v>
      </c>
      <c r="AE246" s="214">
        <f>+'Plan de Accion apoyo transversa'!BX19</f>
        <v>0</v>
      </c>
      <c r="AF246" s="248" t="str">
        <f>+'Plan de Accion apoyo transversa'!CK19</f>
        <v>No Prog ni Ejec</v>
      </c>
      <c r="AG246" s="212" t="s">
        <v>204</v>
      </c>
      <c r="AH246" s="248">
        <f>+'Plan de Accion apoyo transversa'!CB19</f>
        <v>0.86777777777777776</v>
      </c>
      <c r="AI246" s="211">
        <f t="shared" si="245"/>
        <v>0.86777777777777776</v>
      </c>
      <c r="AJ246" s="226"/>
      <c r="AL246" s="1489"/>
      <c r="AM246" s="1489"/>
      <c r="AN246" s="204"/>
      <c r="AO246" s="1502"/>
      <c r="AP246" s="1489"/>
      <c r="AQ246" s="204"/>
      <c r="AR246" s="1489"/>
      <c r="AS246" s="1489"/>
      <c r="AT246" s="204"/>
      <c r="AU246" s="1489"/>
      <c r="AV246" s="1489"/>
      <c r="AW246" s="202"/>
      <c r="AX246" s="225"/>
      <c r="AZ246" s="1489"/>
      <c r="BA246" s="1489"/>
      <c r="BB246" s="204"/>
      <c r="BC246" s="1502"/>
      <c r="BD246" s="1489"/>
      <c r="BE246" s="204"/>
      <c r="BF246" s="1489"/>
      <c r="BG246" s="1489"/>
      <c r="BH246" s="204"/>
      <c r="BI246" s="1489"/>
      <c r="BJ246" s="1489"/>
      <c r="BK246" s="202"/>
      <c r="BL246" s="225"/>
      <c r="BN246" s="1489"/>
      <c r="BO246" s="1489"/>
      <c r="BP246" s="204"/>
      <c r="BQ246" s="1502"/>
      <c r="BR246" s="1489"/>
      <c r="BS246" s="204"/>
      <c r="BT246" s="1489"/>
      <c r="BU246" s="1489"/>
      <c r="BV246" s="204"/>
      <c r="BW246" s="1489"/>
      <c r="BX246" s="1489"/>
      <c r="BY246" s="202"/>
      <c r="BZ246" s="225"/>
      <c r="CB246" s="1489"/>
      <c r="CC246" s="1489"/>
      <c r="CD246" s="204"/>
      <c r="CE246" s="1502"/>
      <c r="CF246" s="1489"/>
      <c r="CG246" s="204"/>
      <c r="CH246" s="1489"/>
      <c r="CI246" s="1489"/>
      <c r="CJ246" s="204"/>
      <c r="CK246" s="1489"/>
      <c r="CL246" s="1489"/>
      <c r="CM246" s="202"/>
      <c r="CN246" s="225"/>
    </row>
    <row r="247" spans="2:92" ht="29.25" thickBot="1" x14ac:dyDescent="0.25">
      <c r="B247" s="1469"/>
      <c r="C247" s="1551"/>
      <c r="D247" s="1443"/>
      <c r="E247" s="1440"/>
      <c r="F247" s="1442" t="s">
        <v>330</v>
      </c>
      <c r="G247" s="315" t="str">
        <f>+'Plan de Accion apoyo transversa'!X20</f>
        <v>Plan de Continuidad del negocio implementado</v>
      </c>
      <c r="H247" s="215" t="str">
        <f>+'Plan de Accion apoyo transversa'!AK20</f>
        <v># Actividades ejecutadas / # actividades programadas</v>
      </c>
      <c r="J247" s="214">
        <f>+'Plan de Accion apoyo transversa'!AT20</f>
        <v>0</v>
      </c>
      <c r="K247" s="476">
        <f>+'Plan de Accion apoyo transversa'!CE20</f>
        <v>0</v>
      </c>
      <c r="L247" s="476">
        <f>IF(K247&gt;100%,100%,K247)</f>
        <v>0</v>
      </c>
      <c r="M247" s="476">
        <f>+'Plan de Accion apoyo transversa'!AX20</f>
        <v>0</v>
      </c>
      <c r="N247" s="476">
        <f t="shared" si="258"/>
        <v>0</v>
      </c>
      <c r="O247" s="478">
        <f>+N247</f>
        <v>0</v>
      </c>
      <c r="P247" s="213"/>
      <c r="Q247" s="214">
        <f>+'Plan de Accion apoyo transversa'!BD20</f>
        <v>0.5714285714285714</v>
      </c>
      <c r="R247" s="248">
        <f>+'Plan de Accion apoyo transversa'!CG20</f>
        <v>2.8571428571428568</v>
      </c>
      <c r="S247" s="212">
        <f t="shared" si="246"/>
        <v>1</v>
      </c>
      <c r="T247" s="304">
        <f>+'Plan de Accion apoyo transversa'!BH20</f>
        <v>0.5714285714285714</v>
      </c>
      <c r="U247" s="304">
        <f t="shared" si="243"/>
        <v>0.5714285714285714</v>
      </c>
      <c r="V247" s="211">
        <f t="shared" si="247"/>
        <v>0.5714285714285714</v>
      </c>
      <c r="W247" s="213">
        <v>1</v>
      </c>
      <c r="X247" s="214">
        <f>+'Plan de Accion apoyo transversa'!BN20</f>
        <v>0.42857142857142855</v>
      </c>
      <c r="Y247" s="248">
        <f>+'Plan de Accion apoyo transversa'!CI20</f>
        <v>1.2244897959183674</v>
      </c>
      <c r="Z247" s="212">
        <f t="shared" si="248"/>
        <v>1</v>
      </c>
      <c r="AA247" s="217">
        <f>+'Plan de Accion apoyo transversa'!BR20</f>
        <v>1</v>
      </c>
      <c r="AB247" s="217">
        <f t="shared" si="244"/>
        <v>1</v>
      </c>
      <c r="AC247" s="216">
        <f t="shared" si="249"/>
        <v>1</v>
      </c>
      <c r="AD247" s="213">
        <v>1</v>
      </c>
      <c r="AE247" s="214">
        <f>+'Plan de Accion apoyo transversa'!BX20</f>
        <v>0</v>
      </c>
      <c r="AF247" s="248" t="str">
        <f>+'Plan de Accion apoyo transversa'!CK20</f>
        <v>No Prog ni Ejec</v>
      </c>
      <c r="AG247" s="212" t="s">
        <v>204</v>
      </c>
      <c r="AH247" s="248">
        <f>+'Plan de Accion apoyo transversa'!CB20</f>
        <v>1</v>
      </c>
      <c r="AI247" s="211">
        <f t="shared" si="245"/>
        <v>1</v>
      </c>
      <c r="AJ247" s="221"/>
      <c r="AL247" s="223"/>
      <c r="AM247" s="222"/>
      <c r="AN247" s="204"/>
      <c r="AO247" s="223"/>
      <c r="AP247" s="222"/>
      <c r="AQ247" s="204"/>
      <c r="AR247" s="223"/>
      <c r="AS247" s="222"/>
      <c r="AT247" s="204"/>
      <c r="AU247" s="223"/>
      <c r="AV247" s="222"/>
      <c r="AW247" s="202"/>
      <c r="AX247" s="221"/>
      <c r="AZ247" s="223"/>
      <c r="BA247" s="222"/>
      <c r="BB247" s="204"/>
      <c r="BC247" s="223"/>
      <c r="BD247" s="222"/>
      <c r="BE247" s="204"/>
      <c r="BF247" s="223"/>
      <c r="BG247" s="222"/>
      <c r="BH247" s="204"/>
      <c r="BI247" s="223"/>
      <c r="BJ247" s="222"/>
      <c r="BK247" s="202"/>
      <c r="BL247" s="221"/>
      <c r="BN247" s="223"/>
      <c r="BO247" s="222"/>
      <c r="BP247" s="204"/>
      <c r="BQ247" s="223"/>
      <c r="BR247" s="222"/>
      <c r="BS247" s="204"/>
      <c r="BT247" s="223"/>
      <c r="BU247" s="222"/>
      <c r="BV247" s="204"/>
      <c r="BW247" s="223"/>
      <c r="BX247" s="222"/>
      <c r="BY247" s="202"/>
      <c r="BZ247" s="221"/>
      <c r="CB247" s="223"/>
      <c r="CC247" s="222"/>
      <c r="CD247" s="204"/>
      <c r="CE247" s="223"/>
      <c r="CF247" s="222"/>
      <c r="CG247" s="204"/>
      <c r="CH247" s="223"/>
      <c r="CI247" s="222"/>
      <c r="CJ247" s="204"/>
      <c r="CK247" s="223"/>
      <c r="CL247" s="222"/>
      <c r="CM247" s="202"/>
      <c r="CN247" s="221"/>
    </row>
    <row r="248" spans="2:92" ht="29.25" thickBot="1" x14ac:dyDescent="0.25">
      <c r="B248" s="1469"/>
      <c r="C248" s="1551"/>
      <c r="D248" s="1444"/>
      <c r="E248" s="1441"/>
      <c r="F248" s="1444"/>
      <c r="G248" s="315" t="str">
        <f>+'Plan de Accion apoyo transversa'!X21</f>
        <v>Plan estratégico cuatrienal aprobado</v>
      </c>
      <c r="H248" s="215" t="str">
        <f>+'Plan de Accion apoyo transversa'!AK21</f>
        <v># Planes estratégicos cuatrienales aprobados</v>
      </c>
      <c r="J248" s="218">
        <f>+'Plan de Accion apoyo transversa'!AT21</f>
        <v>0</v>
      </c>
      <c r="K248" s="476" t="str">
        <f>+'Plan de Accion apoyo transversa'!CE21</f>
        <v>No Prog ni Ejec</v>
      </c>
      <c r="L248" s="476" t="s">
        <v>204</v>
      </c>
      <c r="M248" s="476">
        <f>+'Plan de Accion apoyo transversa'!AX21</f>
        <v>0</v>
      </c>
      <c r="N248" s="476">
        <f t="shared" si="258"/>
        <v>0</v>
      </c>
      <c r="O248" s="478" t="s">
        <v>204</v>
      </c>
      <c r="P248" s="213"/>
      <c r="Q248" s="218">
        <f>+'Plan de Accion apoyo transversa'!BD21</f>
        <v>0</v>
      </c>
      <c r="R248" s="248" t="str">
        <f>+'Plan de Accion apoyo transversa'!CG21</f>
        <v>No Prog ni Ejec</v>
      </c>
      <c r="S248" s="212" t="s">
        <v>204</v>
      </c>
      <c r="T248" s="304">
        <f>+'Plan de Accion apoyo transversa'!BH21</f>
        <v>0</v>
      </c>
      <c r="U248" s="304">
        <f t="shared" si="243"/>
        <v>0</v>
      </c>
      <c r="V248" s="211" t="s">
        <v>204</v>
      </c>
      <c r="W248" s="213"/>
      <c r="X248" s="218">
        <f>+'Plan de Accion apoyo transversa'!BN21</f>
        <v>0</v>
      </c>
      <c r="Y248" s="248" t="str">
        <f>+'Plan de Accion apoyo transversa'!CI21</f>
        <v>No Prog ni Ejec</v>
      </c>
      <c r="Z248" s="212" t="s">
        <v>204</v>
      </c>
      <c r="AA248" s="217">
        <f>+'Plan de Accion apoyo transversa'!BR21</f>
        <v>0</v>
      </c>
      <c r="AB248" s="217">
        <f t="shared" si="244"/>
        <v>0</v>
      </c>
      <c r="AC248" s="216" t="s">
        <v>204</v>
      </c>
      <c r="AD248" s="213"/>
      <c r="AE248" s="218">
        <f>+'Plan de Accion apoyo transversa'!BX21</f>
        <v>1</v>
      </c>
      <c r="AF248" s="248">
        <f>+'Plan de Accion apoyo transversa'!CK21</f>
        <v>1</v>
      </c>
      <c r="AG248" s="212">
        <f>IF(AF248&gt;100%,100%,AF248)</f>
        <v>1</v>
      </c>
      <c r="AH248" s="248">
        <f>+'Plan de Accion apoyo transversa'!CB21</f>
        <v>1</v>
      </c>
      <c r="AI248" s="211">
        <f t="shared" si="245"/>
        <v>1</v>
      </c>
      <c r="AJ248" s="221"/>
      <c r="AL248" s="223"/>
      <c r="AM248" s="222"/>
      <c r="AN248" s="204"/>
      <c r="AO248" s="223"/>
      <c r="AP248" s="222"/>
      <c r="AQ248" s="204"/>
      <c r="AR248" s="223"/>
      <c r="AS248" s="222"/>
      <c r="AT248" s="204"/>
      <c r="AU248" s="223"/>
      <c r="AV248" s="222"/>
      <c r="AW248" s="202"/>
      <c r="AX248" s="221"/>
      <c r="AZ248" s="223"/>
      <c r="BA248" s="222"/>
      <c r="BB248" s="204"/>
      <c r="BC248" s="223"/>
      <c r="BD248" s="222"/>
      <c r="BE248" s="204"/>
      <c r="BF248" s="223"/>
      <c r="BG248" s="222"/>
      <c r="BH248" s="204"/>
      <c r="BI248" s="223"/>
      <c r="BJ248" s="222"/>
      <c r="BK248" s="202"/>
      <c r="BL248" s="221"/>
      <c r="BN248" s="223"/>
      <c r="BO248" s="222"/>
      <c r="BP248" s="204"/>
      <c r="BQ248" s="223"/>
      <c r="BR248" s="222"/>
      <c r="BS248" s="204"/>
      <c r="BT248" s="223"/>
      <c r="BU248" s="222"/>
      <c r="BV248" s="204"/>
      <c r="BW248" s="223"/>
      <c r="BX248" s="222"/>
      <c r="BY248" s="202"/>
      <c r="BZ248" s="221"/>
      <c r="CB248" s="223"/>
      <c r="CC248" s="222"/>
      <c r="CD248" s="204"/>
      <c r="CE248" s="223"/>
      <c r="CF248" s="222"/>
      <c r="CG248" s="204"/>
      <c r="CH248" s="223"/>
      <c r="CI248" s="222"/>
      <c r="CJ248" s="204"/>
      <c r="CK248" s="223"/>
      <c r="CL248" s="222"/>
      <c r="CM248" s="202"/>
      <c r="CN248" s="221"/>
    </row>
    <row r="249" spans="2:92" ht="100.5" thickBot="1" x14ac:dyDescent="0.25">
      <c r="B249" s="1469"/>
      <c r="C249" s="1551"/>
      <c r="D249" s="298" t="s">
        <v>204</v>
      </c>
      <c r="E249" s="315" t="s">
        <v>125</v>
      </c>
      <c r="F249" s="300" t="s">
        <v>336</v>
      </c>
      <c r="G249" s="315" t="str">
        <f>+'Plan de Accion apoyo transversa'!X42</f>
        <v>Reuniones de autocontrol y seguimiento a  los procesos que evidencien monitoreo a los riesgos, indicadores, planes de mejoramiento, manuales y documentos asociados</v>
      </c>
      <c r="H249" s="215" t="str">
        <f>+'Plan de Accion apoyo transversa'!AK42</f>
        <v># reuniones realizadas</v>
      </c>
      <c r="J249" s="218">
        <f>+'Plan de Accion apoyo transversa'!AT42</f>
        <v>0</v>
      </c>
      <c r="K249" s="476" t="str">
        <f>+'Plan de Accion apoyo transversa'!CE42</f>
        <v>No Prog ni Ejec</v>
      </c>
      <c r="L249" s="476" t="s">
        <v>204</v>
      </c>
      <c r="M249" s="476">
        <f>+'Plan de Accion apoyo transversa'!AX42</f>
        <v>0</v>
      </c>
      <c r="N249" s="476">
        <f t="shared" si="258"/>
        <v>0</v>
      </c>
      <c r="O249" s="478" t="s">
        <v>204</v>
      </c>
      <c r="P249" s="213"/>
      <c r="Q249" s="218">
        <f>+'Plan de Accion apoyo transversa'!BD42</f>
        <v>2</v>
      </c>
      <c r="R249" s="248">
        <f>+'Plan de Accion apoyo transversa'!CG42</f>
        <v>2</v>
      </c>
      <c r="S249" s="212">
        <f>IF(R249&gt;100%,100%,R249)</f>
        <v>1</v>
      </c>
      <c r="T249" s="304">
        <f>+'Plan de Accion apoyo transversa'!BH42</f>
        <v>0.66666666666666663</v>
      </c>
      <c r="U249" s="304">
        <f t="shared" si="243"/>
        <v>0.66666666666666663</v>
      </c>
      <c r="V249" s="211">
        <f>+U249</f>
        <v>0.66666666666666663</v>
      </c>
      <c r="W249" s="213">
        <v>1</v>
      </c>
      <c r="X249" s="218">
        <f>+'Plan de Accion apoyo transversa'!BN42</f>
        <v>1</v>
      </c>
      <c r="Y249" s="248">
        <f>+'Plan de Accion apoyo transversa'!CI42</f>
        <v>1</v>
      </c>
      <c r="Z249" s="212">
        <f>IF(Y249&gt;100%,100%,Y249)</f>
        <v>1</v>
      </c>
      <c r="AA249" s="217">
        <f>+'Plan de Accion apoyo transversa'!BR42</f>
        <v>1</v>
      </c>
      <c r="AB249" s="217">
        <f t="shared" si="244"/>
        <v>1</v>
      </c>
      <c r="AC249" s="216">
        <f>+AB249</f>
        <v>1</v>
      </c>
      <c r="AD249" s="213"/>
      <c r="AE249" s="218">
        <f>+'Plan de Accion apoyo transversa'!BX42</f>
        <v>1</v>
      </c>
      <c r="AF249" s="248">
        <f>+'Plan de Accion apoyo transversa'!CK42</f>
        <v>1</v>
      </c>
      <c r="AG249" s="212">
        <f>IF(AF249&gt;100%,100%,AF249)</f>
        <v>1</v>
      </c>
      <c r="AH249" s="248">
        <f>+'Plan de Accion apoyo transversa'!CB42</f>
        <v>1.3333333333333333</v>
      </c>
      <c r="AI249" s="211">
        <f t="shared" si="245"/>
        <v>1</v>
      </c>
      <c r="AJ249" s="221"/>
      <c r="AK249" s="1165">
        <v>1</v>
      </c>
      <c r="AL249" s="223"/>
      <c r="AM249" s="222"/>
      <c r="AN249" s="204"/>
      <c r="AO249" s="223"/>
      <c r="AP249" s="222"/>
      <c r="AQ249" s="204"/>
      <c r="AR249" s="223"/>
      <c r="AS249" s="222"/>
      <c r="AT249" s="204"/>
      <c r="AU249" s="223"/>
      <c r="AV249" s="222"/>
      <c r="AW249" s="202"/>
      <c r="AX249" s="221"/>
      <c r="AZ249" s="223"/>
      <c r="BA249" s="222"/>
      <c r="BB249" s="204"/>
      <c r="BC249" s="223"/>
      <c r="BD249" s="222"/>
      <c r="BE249" s="204"/>
      <c r="BF249" s="223"/>
      <c r="BG249" s="222"/>
      <c r="BH249" s="204"/>
      <c r="BI249" s="223"/>
      <c r="BJ249" s="222"/>
      <c r="BK249" s="202"/>
      <c r="BL249" s="221"/>
      <c r="BN249" s="223"/>
      <c r="BO249" s="222"/>
      <c r="BP249" s="204"/>
      <c r="BQ249" s="223"/>
      <c r="BR249" s="222"/>
      <c r="BS249" s="204"/>
      <c r="BT249" s="223"/>
      <c r="BU249" s="222"/>
      <c r="BV249" s="204"/>
      <c r="BW249" s="223"/>
      <c r="BX249" s="222"/>
      <c r="BY249" s="202"/>
      <c r="BZ249" s="221"/>
      <c r="CB249" s="223"/>
      <c r="CC249" s="222"/>
      <c r="CD249" s="204"/>
      <c r="CE249" s="223"/>
      <c r="CF249" s="222"/>
      <c r="CG249" s="204"/>
      <c r="CH249" s="223"/>
      <c r="CI249" s="222"/>
      <c r="CJ249" s="204"/>
      <c r="CK249" s="223"/>
      <c r="CL249" s="222"/>
      <c r="CM249" s="202"/>
      <c r="CN249" s="221"/>
    </row>
    <row r="250" spans="2:92" ht="29.25" thickBot="1" x14ac:dyDescent="0.25">
      <c r="B250" s="1469"/>
      <c r="C250" s="1551"/>
      <c r="D250" s="1442" t="s">
        <v>204</v>
      </c>
      <c r="E250" s="1439" t="s">
        <v>3</v>
      </c>
      <c r="F250" s="1554" t="s">
        <v>330</v>
      </c>
      <c r="G250" s="315" t="str">
        <f>+'Plan de Accion apoyo transversa'!X43</f>
        <v>Reporte Trimestral del Avance del Plan de Acción</v>
      </c>
      <c r="H250" s="215" t="str">
        <f>+'Plan de Accion apoyo transversa'!AK43</f>
        <v># Informes trimestrales reportados</v>
      </c>
      <c r="J250" s="218">
        <f>+'Plan de Accion apoyo transversa'!AT43</f>
        <v>1</v>
      </c>
      <c r="K250" s="476">
        <f>+'Plan de Accion apoyo transversa'!CE43</f>
        <v>1</v>
      </c>
      <c r="L250" s="476">
        <f>IF(K250&gt;100%,100%,K250)</f>
        <v>1</v>
      </c>
      <c r="M250" s="476">
        <f>+'Plan de Accion apoyo transversa'!AX43</f>
        <v>0.25</v>
      </c>
      <c r="N250" s="476">
        <f t="shared" si="258"/>
        <v>0.25</v>
      </c>
      <c r="O250" s="478">
        <f t="shared" ref="O250:O256" si="259">+N250</f>
        <v>0.25</v>
      </c>
      <c r="P250" s="213"/>
      <c r="Q250" s="218">
        <f>+'Plan de Accion apoyo transversa'!BD43</f>
        <v>1</v>
      </c>
      <c r="R250" s="248">
        <f>+'Plan de Accion apoyo transversa'!CG43</f>
        <v>1</v>
      </c>
      <c r="S250" s="212">
        <f t="shared" ref="S250:S259" si="260">IF(R250&gt;100%,100%,R250)</f>
        <v>1</v>
      </c>
      <c r="T250" s="304">
        <f>+'Plan de Accion apoyo transversa'!BH43</f>
        <v>0.5</v>
      </c>
      <c r="U250" s="304">
        <f t="shared" ref="U250:U261" si="261">IF(T250&gt;100%,100%,T250)</f>
        <v>0.5</v>
      </c>
      <c r="V250" s="211">
        <f t="shared" ref="V250:V261" si="262">+U250</f>
        <v>0.5</v>
      </c>
      <c r="W250" s="213"/>
      <c r="X250" s="218">
        <f>+'Plan de Accion apoyo transversa'!BN43</f>
        <v>1</v>
      </c>
      <c r="Y250" s="248">
        <f>+'Plan de Accion apoyo transversa'!CI43</f>
        <v>1</v>
      </c>
      <c r="Z250" s="212">
        <f t="shared" ref="Z250:Z260" si="263">IF(Y250&gt;100%,100%,Y250)</f>
        <v>1</v>
      </c>
      <c r="AA250" s="217">
        <f>+'Plan de Accion apoyo transversa'!BR43</f>
        <v>0.75</v>
      </c>
      <c r="AB250" s="217">
        <f t="shared" ref="AB250:AB261" si="264">IF(AA250&gt;100%,100%,AA250)</f>
        <v>0.75</v>
      </c>
      <c r="AC250" s="216">
        <f t="shared" ref="AC250:AC261" si="265">+AB250</f>
        <v>0.75</v>
      </c>
      <c r="AD250" s="213"/>
      <c r="AE250" s="218">
        <f>+'Plan de Accion apoyo transversa'!BX43</f>
        <v>1</v>
      </c>
      <c r="AF250" s="248">
        <f>+'Plan de Accion apoyo transversa'!CK43</f>
        <v>1</v>
      </c>
      <c r="AG250" s="212">
        <f t="shared" ref="AG250:AG256" si="266">IF(AF250&gt;100%,100%,AF250)</f>
        <v>1</v>
      </c>
      <c r="AH250" s="248">
        <f>+'Plan de Accion apoyo transversa'!CB43</f>
        <v>1</v>
      </c>
      <c r="AI250" s="211">
        <f t="shared" ref="AI250:AI261" si="267">IF(AH250&gt;100%,100%,AH250)</f>
        <v>1</v>
      </c>
      <c r="AJ250" s="221"/>
      <c r="AL250" s="223"/>
      <c r="AM250" s="222"/>
      <c r="AN250" s="204"/>
      <c r="AO250" s="223"/>
      <c r="AP250" s="222"/>
      <c r="AQ250" s="204"/>
      <c r="AR250" s="223"/>
      <c r="AS250" s="222"/>
      <c r="AT250" s="204"/>
      <c r="AU250" s="223"/>
      <c r="AV250" s="222"/>
      <c r="AW250" s="202"/>
      <c r="AX250" s="221"/>
      <c r="AZ250" s="223"/>
      <c r="BA250" s="222"/>
      <c r="BB250" s="204"/>
      <c r="BC250" s="223"/>
      <c r="BD250" s="222"/>
      <c r="BE250" s="204"/>
      <c r="BF250" s="223"/>
      <c r="BG250" s="222"/>
      <c r="BH250" s="204"/>
      <c r="BI250" s="223"/>
      <c r="BJ250" s="222"/>
      <c r="BK250" s="202"/>
      <c r="BL250" s="221"/>
      <c r="BN250" s="223"/>
      <c r="BO250" s="222"/>
      <c r="BP250" s="204"/>
      <c r="BQ250" s="223"/>
      <c r="BR250" s="222"/>
      <c r="BS250" s="204"/>
      <c r="BT250" s="223"/>
      <c r="BU250" s="222"/>
      <c r="BV250" s="204"/>
      <c r="BW250" s="223"/>
      <c r="BX250" s="222"/>
      <c r="BY250" s="202"/>
      <c r="BZ250" s="221"/>
      <c r="CB250" s="223"/>
      <c r="CC250" s="222"/>
      <c r="CD250" s="204"/>
      <c r="CE250" s="223"/>
      <c r="CF250" s="222"/>
      <c r="CG250" s="204"/>
      <c r="CH250" s="223"/>
      <c r="CI250" s="222"/>
      <c r="CJ250" s="204"/>
      <c r="CK250" s="223"/>
      <c r="CL250" s="222"/>
      <c r="CM250" s="202"/>
      <c r="CN250" s="221"/>
    </row>
    <row r="251" spans="2:92" ht="86.25" thickBot="1" x14ac:dyDescent="0.25">
      <c r="B251" s="1469"/>
      <c r="C251" s="1551"/>
      <c r="D251" s="1443"/>
      <c r="E251" s="1440"/>
      <c r="F251" s="1554"/>
      <c r="G251" s="315" t="str">
        <f>+'Plan de Accion apoyo transversa'!X44</f>
        <v>Evaluar cumplimiento a los seguimientos y  evaluaciones al control interno, contemplados en el Plan Anual de Auditorías</v>
      </c>
      <c r="H251" s="215" t="str">
        <f>+'Plan de Accion apoyo transversa'!AK44</f>
        <v># de seguimientos y evaluaciones de control interno realizadas en el trimestre 
Indicador Variable acumulado y de eficacia</v>
      </c>
      <c r="J251" s="218">
        <f>+'Plan de Accion apoyo transversa'!AT44</f>
        <v>0</v>
      </c>
      <c r="K251" s="476">
        <f>+'Plan de Accion apoyo transversa'!CE44</f>
        <v>0</v>
      </c>
      <c r="L251" s="476">
        <f>IF(K251&gt;100%,100%,K251)</f>
        <v>0</v>
      </c>
      <c r="M251" s="476">
        <f>+'Plan de Accion apoyo transversa'!AX44</f>
        <v>0</v>
      </c>
      <c r="N251" s="476">
        <f t="shared" si="258"/>
        <v>0</v>
      </c>
      <c r="O251" s="478">
        <f t="shared" si="259"/>
        <v>0</v>
      </c>
      <c r="P251" s="213"/>
      <c r="Q251" s="218">
        <f>+'Plan de Accion apoyo transversa'!BD44</f>
        <v>2</v>
      </c>
      <c r="R251" s="248">
        <f>+'Plan de Accion apoyo transversa'!CG44</f>
        <v>1</v>
      </c>
      <c r="S251" s="212">
        <f t="shared" si="260"/>
        <v>1</v>
      </c>
      <c r="T251" s="304">
        <f>+'Plan de Accion apoyo transversa'!BH44</f>
        <v>0.15384615384615385</v>
      </c>
      <c r="U251" s="304">
        <f t="shared" si="261"/>
        <v>0.15384615384615385</v>
      </c>
      <c r="V251" s="211">
        <f t="shared" si="262"/>
        <v>0.15384615384615385</v>
      </c>
      <c r="W251" s="213"/>
      <c r="X251" s="218">
        <f>+'Plan de Accion apoyo transversa'!BN44</f>
        <v>4</v>
      </c>
      <c r="Y251" s="248">
        <f>+'Plan de Accion apoyo transversa'!CI44</f>
        <v>1</v>
      </c>
      <c r="Z251" s="212">
        <f t="shared" si="263"/>
        <v>1</v>
      </c>
      <c r="AA251" s="217">
        <f>+'Plan de Accion apoyo transversa'!BR44</f>
        <v>0.46153846153846156</v>
      </c>
      <c r="AB251" s="217">
        <f t="shared" si="264"/>
        <v>0.46153846153846156</v>
      </c>
      <c r="AC251" s="216">
        <f t="shared" si="265"/>
        <v>0.46153846153846156</v>
      </c>
      <c r="AD251" s="213"/>
      <c r="AE251" s="218">
        <f>+'Plan de Accion apoyo transversa'!BX44</f>
        <v>7</v>
      </c>
      <c r="AF251" s="248">
        <f>+'Plan de Accion apoyo transversa'!CK44</f>
        <v>1.1666666666666667</v>
      </c>
      <c r="AG251" s="212">
        <f t="shared" si="266"/>
        <v>1</v>
      </c>
      <c r="AH251" s="248">
        <f>+'Plan de Accion apoyo transversa'!CB44</f>
        <v>1</v>
      </c>
      <c r="AI251" s="211">
        <f t="shared" si="267"/>
        <v>1</v>
      </c>
      <c r="AJ251" s="221"/>
      <c r="AK251" s="1165">
        <v>1</v>
      </c>
      <c r="AL251" s="223"/>
      <c r="AM251" s="222"/>
      <c r="AN251" s="204"/>
      <c r="AO251" s="223"/>
      <c r="AP251" s="222"/>
      <c r="AQ251" s="204"/>
      <c r="AR251" s="223"/>
      <c r="AS251" s="222"/>
      <c r="AT251" s="204"/>
      <c r="AU251" s="223"/>
      <c r="AV251" s="222"/>
      <c r="AW251" s="202"/>
      <c r="AX251" s="221"/>
      <c r="AZ251" s="223"/>
      <c r="BA251" s="222"/>
      <c r="BB251" s="204"/>
      <c r="BC251" s="223"/>
      <c r="BD251" s="222"/>
      <c r="BE251" s="204"/>
      <c r="BF251" s="223"/>
      <c r="BG251" s="222"/>
      <c r="BH251" s="204"/>
      <c r="BI251" s="223"/>
      <c r="BJ251" s="222"/>
      <c r="BK251" s="202"/>
      <c r="BL251" s="221"/>
      <c r="BN251" s="223"/>
      <c r="BO251" s="222"/>
      <c r="BP251" s="204"/>
      <c r="BQ251" s="223"/>
      <c r="BR251" s="222"/>
      <c r="BS251" s="204"/>
      <c r="BT251" s="223"/>
      <c r="BU251" s="222"/>
      <c r="BV251" s="204"/>
      <c r="BW251" s="223"/>
      <c r="BX251" s="222"/>
      <c r="BY251" s="202"/>
      <c r="BZ251" s="221"/>
      <c r="CB251" s="223"/>
      <c r="CC251" s="222"/>
      <c r="CD251" s="204"/>
      <c r="CE251" s="223"/>
      <c r="CF251" s="222"/>
      <c r="CG251" s="204"/>
      <c r="CH251" s="223"/>
      <c r="CI251" s="222"/>
      <c r="CJ251" s="204"/>
      <c r="CK251" s="223"/>
      <c r="CL251" s="222"/>
      <c r="CM251" s="202"/>
      <c r="CN251" s="221"/>
    </row>
    <row r="252" spans="2:92" ht="72" thickBot="1" x14ac:dyDescent="0.25">
      <c r="B252" s="1469"/>
      <c r="C252" s="1551"/>
      <c r="D252" s="1443"/>
      <c r="E252" s="1440"/>
      <c r="F252" s="1554"/>
      <c r="G252" s="315" t="str">
        <f>+'Plan de Accion apoyo transversa'!X45</f>
        <v>Entrega de Informes de Evaluación y Seguimiento de los Requerimientos Legales Internos en el marco de la normatividad vigente</v>
      </c>
      <c r="H252" s="215" t="str">
        <f>+'Plan de Accion apoyo transversa'!AK45</f>
        <v># de Informes Legales Internos presentados en cada trimestre Indicador Variable acumulado y de eficacia</v>
      </c>
      <c r="J252" s="218">
        <f>+'Plan de Accion apoyo transversa'!AT45</f>
        <v>5</v>
      </c>
      <c r="K252" s="476">
        <f>+'Plan de Accion apoyo transversa'!CE45</f>
        <v>1</v>
      </c>
      <c r="L252" s="476">
        <f>IF(K252&gt;100%,100%,K252)</f>
        <v>1</v>
      </c>
      <c r="M252" s="476">
        <f>+'Plan de Accion apoyo transversa'!AX45</f>
        <v>0.25</v>
      </c>
      <c r="N252" s="476">
        <f t="shared" si="258"/>
        <v>0.25</v>
      </c>
      <c r="O252" s="478">
        <f t="shared" si="259"/>
        <v>0.25</v>
      </c>
      <c r="P252" s="213"/>
      <c r="Q252" s="218">
        <f>+'Plan de Accion apoyo transversa'!BD45</f>
        <v>6</v>
      </c>
      <c r="R252" s="248">
        <f>+'Plan de Accion apoyo transversa'!CG45</f>
        <v>1</v>
      </c>
      <c r="S252" s="212">
        <f t="shared" si="260"/>
        <v>1</v>
      </c>
      <c r="T252" s="304">
        <f>+'Plan de Accion apoyo transversa'!BH45</f>
        <v>0.55000000000000004</v>
      </c>
      <c r="U252" s="304">
        <f t="shared" si="261"/>
        <v>0.55000000000000004</v>
      </c>
      <c r="V252" s="211">
        <f t="shared" si="262"/>
        <v>0.55000000000000004</v>
      </c>
      <c r="W252" s="213"/>
      <c r="X252" s="218">
        <f>+'Plan de Accion apoyo transversa'!BN45</f>
        <v>5</v>
      </c>
      <c r="Y252" s="248">
        <f>+'Plan de Accion apoyo transversa'!CI45</f>
        <v>1</v>
      </c>
      <c r="Z252" s="212">
        <f t="shared" si="263"/>
        <v>1</v>
      </c>
      <c r="AA252" s="217">
        <f>+'Plan de Accion apoyo transversa'!BR45</f>
        <v>0.8</v>
      </c>
      <c r="AB252" s="217">
        <f t="shared" si="264"/>
        <v>0.8</v>
      </c>
      <c r="AC252" s="216">
        <f t="shared" si="265"/>
        <v>0.8</v>
      </c>
      <c r="AD252" s="213"/>
      <c r="AE252" s="218">
        <f>+'Plan de Accion apoyo transversa'!BX45</f>
        <v>4</v>
      </c>
      <c r="AF252" s="248">
        <f>+'Plan de Accion apoyo transversa'!CK45</f>
        <v>1</v>
      </c>
      <c r="AG252" s="212">
        <f t="shared" si="266"/>
        <v>1</v>
      </c>
      <c r="AH252" s="248">
        <f>+'Plan de Accion apoyo transversa'!CB45</f>
        <v>1</v>
      </c>
      <c r="AI252" s="211">
        <f t="shared" si="267"/>
        <v>1</v>
      </c>
      <c r="AJ252" s="221"/>
      <c r="AL252" s="223"/>
      <c r="AM252" s="222"/>
      <c r="AN252" s="204"/>
      <c r="AO252" s="223"/>
      <c r="AP252" s="222"/>
      <c r="AQ252" s="204"/>
      <c r="AR252" s="223"/>
      <c r="AS252" s="222"/>
      <c r="AT252" s="204"/>
      <c r="AU252" s="223"/>
      <c r="AV252" s="222"/>
      <c r="AW252" s="202"/>
      <c r="AX252" s="221"/>
      <c r="AZ252" s="223"/>
      <c r="BA252" s="222"/>
      <c r="BB252" s="204"/>
      <c r="BC252" s="223"/>
      <c r="BD252" s="222"/>
      <c r="BE252" s="204"/>
      <c r="BF252" s="223"/>
      <c r="BG252" s="222"/>
      <c r="BH252" s="204"/>
      <c r="BI252" s="223"/>
      <c r="BJ252" s="222"/>
      <c r="BK252" s="202"/>
      <c r="BL252" s="221"/>
      <c r="BN252" s="223"/>
      <c r="BO252" s="222"/>
      <c r="BP252" s="204"/>
      <c r="BQ252" s="223"/>
      <c r="BR252" s="222"/>
      <c r="BS252" s="204"/>
      <c r="BT252" s="223"/>
      <c r="BU252" s="222"/>
      <c r="BV252" s="204"/>
      <c r="BW252" s="223"/>
      <c r="BX252" s="222"/>
      <c r="BY252" s="202"/>
      <c r="BZ252" s="221"/>
      <c r="CB252" s="223"/>
      <c r="CC252" s="222"/>
      <c r="CD252" s="204"/>
      <c r="CE252" s="223"/>
      <c r="CF252" s="222"/>
      <c r="CG252" s="204"/>
      <c r="CH252" s="223"/>
      <c r="CI252" s="222"/>
      <c r="CJ252" s="204"/>
      <c r="CK252" s="223"/>
      <c r="CL252" s="222"/>
      <c r="CM252" s="202"/>
      <c r="CN252" s="221"/>
    </row>
    <row r="253" spans="2:92" ht="57.75" thickBot="1" x14ac:dyDescent="0.25">
      <c r="B253" s="1469"/>
      <c r="C253" s="1551"/>
      <c r="D253" s="1443"/>
      <c r="E253" s="1440"/>
      <c r="F253" s="1554"/>
      <c r="G253" s="315" t="str">
        <f>+'Plan de Accion apoyo transversa'!X47</f>
        <v>Seguimientos al Plan de Mejoramiento suscrito con la CGR</v>
      </c>
      <c r="H253" s="215" t="str">
        <f>+'Plan de Accion apoyo transversa'!AK47</f>
        <v># de seguimientos realizados según normatividad vigente
Indicador acumulado y de eficacia</v>
      </c>
      <c r="J253" s="218">
        <f>+'Plan de Accion apoyo transversa'!AT47</f>
        <v>1</v>
      </c>
      <c r="K253" s="476">
        <f>+'Plan de Accion apoyo transversa'!CE47</f>
        <v>1</v>
      </c>
      <c r="L253" s="476">
        <f>IF(K253&gt;100%,100%,K253)</f>
        <v>1</v>
      </c>
      <c r="M253" s="476">
        <f>+'Plan de Accion apoyo transversa'!AX47</f>
        <v>0.5</v>
      </c>
      <c r="N253" s="476">
        <f t="shared" si="258"/>
        <v>0.5</v>
      </c>
      <c r="O253" s="478">
        <f t="shared" si="259"/>
        <v>0.5</v>
      </c>
      <c r="P253" s="213"/>
      <c r="Q253" s="218">
        <f>+'Plan de Accion apoyo transversa'!BD47</f>
        <v>0</v>
      </c>
      <c r="R253" s="248" t="str">
        <f>+'Plan de Accion apoyo transversa'!CG47</f>
        <v>No Prog ni Ejec</v>
      </c>
      <c r="S253" s="212" t="s">
        <v>204</v>
      </c>
      <c r="T253" s="304">
        <f>+'Plan de Accion apoyo transversa'!BH47</f>
        <v>0.5</v>
      </c>
      <c r="U253" s="304">
        <f t="shared" si="261"/>
        <v>0.5</v>
      </c>
      <c r="V253" s="211">
        <f t="shared" si="262"/>
        <v>0.5</v>
      </c>
      <c r="W253" s="213"/>
      <c r="X253" s="218">
        <f>+'Plan de Accion apoyo transversa'!BN47</f>
        <v>1</v>
      </c>
      <c r="Y253" s="248">
        <f>+'Plan de Accion apoyo transversa'!CI47</f>
        <v>1</v>
      </c>
      <c r="Z253" s="212">
        <f t="shared" si="263"/>
        <v>1</v>
      </c>
      <c r="AA253" s="217">
        <f>+'Plan de Accion apoyo transversa'!BR47</f>
        <v>1</v>
      </c>
      <c r="AB253" s="217">
        <f t="shared" si="264"/>
        <v>1</v>
      </c>
      <c r="AC253" s="216">
        <f t="shared" si="265"/>
        <v>1</v>
      </c>
      <c r="AD253" s="213"/>
      <c r="AE253" s="218">
        <f>+'Plan de Accion apoyo transversa'!BX47</f>
        <v>0</v>
      </c>
      <c r="AF253" s="248" t="str">
        <f>+'Plan de Accion apoyo transversa'!CK47</f>
        <v>No Prog ni Ejec</v>
      </c>
      <c r="AG253" s="212" t="s">
        <v>204</v>
      </c>
      <c r="AH253" s="248">
        <f>+'Plan de Accion apoyo transversa'!CB47</f>
        <v>1</v>
      </c>
      <c r="AI253" s="211">
        <f t="shared" si="267"/>
        <v>1</v>
      </c>
      <c r="AJ253" s="221"/>
      <c r="AL253" s="223"/>
      <c r="AM253" s="222"/>
      <c r="AN253" s="204"/>
      <c r="AO253" s="223"/>
      <c r="AP253" s="222"/>
      <c r="AQ253" s="204"/>
      <c r="AR253" s="223"/>
      <c r="AS253" s="222"/>
      <c r="AT253" s="204"/>
      <c r="AU253" s="223"/>
      <c r="AV253" s="222"/>
      <c r="AW253" s="202"/>
      <c r="AX253" s="221"/>
      <c r="AZ253" s="223"/>
      <c r="BA253" s="222"/>
      <c r="BB253" s="204"/>
      <c r="BC253" s="223"/>
      <c r="BD253" s="222"/>
      <c r="BE253" s="204"/>
      <c r="BF253" s="223"/>
      <c r="BG253" s="222"/>
      <c r="BH253" s="204"/>
      <c r="BI253" s="223"/>
      <c r="BJ253" s="222"/>
      <c r="BK253" s="202"/>
      <c r="BL253" s="221"/>
      <c r="BN253" s="223"/>
      <c r="BO253" s="222"/>
      <c r="BP253" s="204"/>
      <c r="BQ253" s="223"/>
      <c r="BR253" s="222"/>
      <c r="BS253" s="204"/>
      <c r="BT253" s="223"/>
      <c r="BU253" s="222"/>
      <c r="BV253" s="204"/>
      <c r="BW253" s="223"/>
      <c r="BX253" s="222"/>
      <c r="BY253" s="202"/>
      <c r="BZ253" s="221"/>
      <c r="CB253" s="223"/>
      <c r="CC253" s="222"/>
      <c r="CD253" s="204"/>
      <c r="CE253" s="223"/>
      <c r="CF253" s="222"/>
      <c r="CG253" s="204"/>
      <c r="CH253" s="223"/>
      <c r="CI253" s="222"/>
      <c r="CJ253" s="204"/>
      <c r="CK253" s="223"/>
      <c r="CL253" s="222"/>
      <c r="CM253" s="202"/>
      <c r="CN253" s="221"/>
    </row>
    <row r="254" spans="2:92" ht="100.5" thickBot="1" x14ac:dyDescent="0.25">
      <c r="B254" s="1469"/>
      <c r="C254" s="1551"/>
      <c r="D254" s="1443"/>
      <c r="E254" s="1440"/>
      <c r="F254" s="1442" t="s">
        <v>336</v>
      </c>
      <c r="G254" s="315" t="str">
        <f>+'Plan de Accion apoyo transversa'!X49</f>
        <v>Reuniones de autocontrol y seguimiento a  los procesos que evidencien monitoreo a los riesgos, indicadores, planes de mejoramiento, manuales y documentos asociados</v>
      </c>
      <c r="H254" s="215" t="str">
        <f>+'Plan de Accion apoyo transversa'!AK49</f>
        <v># reuniones realizadas</v>
      </c>
      <c r="J254" s="218">
        <f>+'Plan de Accion apoyo transversa'!AT49</f>
        <v>0</v>
      </c>
      <c r="K254" s="476" t="str">
        <f>+'Plan de Accion apoyo transversa'!CE49</f>
        <v>No Prog ni Ejec</v>
      </c>
      <c r="L254" s="476" t="s">
        <v>204</v>
      </c>
      <c r="M254" s="476">
        <f>+'Plan de Accion apoyo transversa'!AX49</f>
        <v>0</v>
      </c>
      <c r="N254" s="476">
        <f t="shared" si="258"/>
        <v>0</v>
      </c>
      <c r="O254" s="478" t="s">
        <v>204</v>
      </c>
      <c r="P254" s="213"/>
      <c r="Q254" s="218">
        <f>+'Plan de Accion apoyo transversa'!BD49</f>
        <v>1</v>
      </c>
      <c r="R254" s="248">
        <f>+'Plan de Accion apoyo transversa'!CG49</f>
        <v>1</v>
      </c>
      <c r="S254" s="212">
        <f t="shared" si="260"/>
        <v>1</v>
      </c>
      <c r="T254" s="304">
        <f>+'Plan de Accion apoyo transversa'!BH49</f>
        <v>0.33333333333333331</v>
      </c>
      <c r="U254" s="304">
        <f t="shared" si="261"/>
        <v>0.33333333333333331</v>
      </c>
      <c r="V254" s="211">
        <f t="shared" si="262"/>
        <v>0.33333333333333331</v>
      </c>
      <c r="W254" s="213"/>
      <c r="X254" s="218">
        <f>+'Plan de Accion apoyo transversa'!BN49</f>
        <v>1</v>
      </c>
      <c r="Y254" s="248">
        <f>+'Plan de Accion apoyo transversa'!CI49</f>
        <v>1</v>
      </c>
      <c r="Z254" s="212">
        <f t="shared" si="263"/>
        <v>1</v>
      </c>
      <c r="AA254" s="217">
        <f>+'Plan de Accion apoyo transversa'!BR49</f>
        <v>0.66666666666666663</v>
      </c>
      <c r="AB254" s="217">
        <f t="shared" si="264"/>
        <v>0.66666666666666663</v>
      </c>
      <c r="AC254" s="216">
        <f t="shared" si="265"/>
        <v>0.66666666666666663</v>
      </c>
      <c r="AD254" s="213"/>
      <c r="AE254" s="218">
        <f>+'Plan de Accion apoyo transversa'!BX49</f>
        <v>1</v>
      </c>
      <c r="AF254" s="248">
        <f>+'Plan de Accion apoyo transversa'!CK49</f>
        <v>1</v>
      </c>
      <c r="AG254" s="212">
        <f t="shared" si="266"/>
        <v>1</v>
      </c>
      <c r="AH254" s="248">
        <f>+'Plan de Accion apoyo transversa'!CB49</f>
        <v>1</v>
      </c>
      <c r="AI254" s="211">
        <f t="shared" si="267"/>
        <v>1</v>
      </c>
      <c r="AJ254" s="221"/>
      <c r="AL254" s="223"/>
      <c r="AM254" s="222"/>
      <c r="AN254" s="204"/>
      <c r="AO254" s="223"/>
      <c r="AP254" s="222"/>
      <c r="AQ254" s="204"/>
      <c r="AR254" s="223"/>
      <c r="AS254" s="222"/>
      <c r="AT254" s="204"/>
      <c r="AU254" s="223"/>
      <c r="AV254" s="222"/>
      <c r="AW254" s="202"/>
      <c r="AX254" s="221"/>
      <c r="AZ254" s="223"/>
      <c r="BA254" s="222"/>
      <c r="BB254" s="204"/>
      <c r="BC254" s="223"/>
      <c r="BD254" s="222"/>
      <c r="BE254" s="204"/>
      <c r="BF254" s="223"/>
      <c r="BG254" s="222"/>
      <c r="BH254" s="204"/>
      <c r="BI254" s="223"/>
      <c r="BJ254" s="222"/>
      <c r="BK254" s="202"/>
      <c r="BL254" s="221"/>
      <c r="BN254" s="223"/>
      <c r="BO254" s="222"/>
      <c r="BP254" s="204"/>
      <c r="BQ254" s="223"/>
      <c r="BR254" s="222"/>
      <c r="BS254" s="204"/>
      <c r="BT254" s="223"/>
      <c r="BU254" s="222"/>
      <c r="BV254" s="204"/>
      <c r="BW254" s="223"/>
      <c r="BX254" s="222"/>
      <c r="BY254" s="202"/>
      <c r="BZ254" s="221"/>
      <c r="CB254" s="223"/>
      <c r="CC254" s="222"/>
      <c r="CD254" s="204"/>
      <c r="CE254" s="223"/>
      <c r="CF254" s="222"/>
      <c r="CG254" s="204"/>
      <c r="CH254" s="223"/>
      <c r="CI254" s="222"/>
      <c r="CJ254" s="204"/>
      <c r="CK254" s="223"/>
      <c r="CL254" s="222"/>
      <c r="CM254" s="202"/>
      <c r="CN254" s="221"/>
    </row>
    <row r="255" spans="2:92" ht="57.75" thickBot="1" x14ac:dyDescent="0.25">
      <c r="B255" s="1469"/>
      <c r="C255" s="1551"/>
      <c r="D255" s="1444"/>
      <c r="E255" s="1441"/>
      <c r="F255" s="1444"/>
      <c r="G255" s="315" t="str">
        <f>+'Plan de Accion apoyo transversa'!X164</f>
        <v>Informes de seguimiento a los Mapas de Riesgos con corte 30 de abril, 31 de agosto y 31 de diciembre</v>
      </c>
      <c r="H255" s="215" t="str">
        <f>+'Plan de Accion apoyo transversa'!AK164</f>
        <v># Informes de seguimiento a los Mapas de Riesgos</v>
      </c>
      <c r="J255" s="218">
        <f>+'Plan de Accion apoyo transversa'!AT164</f>
        <v>1</v>
      </c>
      <c r="K255" s="476">
        <f>+'Plan de Accion apoyo transversa'!CE164</f>
        <v>1</v>
      </c>
      <c r="L255" s="476">
        <f>IF(K255&gt;100%,100%,K255)</f>
        <v>1</v>
      </c>
      <c r="M255" s="476">
        <f>+'Plan de Accion apoyo transversa'!AX164</f>
        <v>0.33333333333333331</v>
      </c>
      <c r="N255" s="476">
        <f t="shared" si="258"/>
        <v>0.33333333333333331</v>
      </c>
      <c r="O255" s="478">
        <f t="shared" si="259"/>
        <v>0.33333333333333331</v>
      </c>
      <c r="P255" s="213"/>
      <c r="Q255" s="218">
        <f>+'Plan de Accion apoyo transversa'!BD164</f>
        <v>1</v>
      </c>
      <c r="R255" s="248">
        <f>+'Plan de Accion apoyo transversa'!CG164</f>
        <v>1</v>
      </c>
      <c r="S255" s="212">
        <f>IF(R255&gt;100%,100%,R255)</f>
        <v>1</v>
      </c>
      <c r="T255" s="304">
        <f>+'Plan de Accion apoyo transversa'!BH164</f>
        <v>0.66666666666666663</v>
      </c>
      <c r="U255" s="304">
        <f>IF(T255&gt;100%,100%,T255)</f>
        <v>0.66666666666666663</v>
      </c>
      <c r="V255" s="211">
        <f>+U255</f>
        <v>0.66666666666666663</v>
      </c>
      <c r="W255" s="213"/>
      <c r="X255" s="218">
        <f>+'Plan de Accion apoyo transversa'!BN164</f>
        <v>1</v>
      </c>
      <c r="Y255" s="248">
        <f>+'Plan de Accion apoyo transversa'!CI164</f>
        <v>1</v>
      </c>
      <c r="Z255" s="212">
        <f>IF(Y255&gt;100%,100%,Y255)</f>
        <v>1</v>
      </c>
      <c r="AA255" s="217">
        <f>+'Plan de Accion apoyo transversa'!BR164</f>
        <v>1</v>
      </c>
      <c r="AB255" s="217">
        <f>IF(AA255&gt;100%,100%,AA255)</f>
        <v>1</v>
      </c>
      <c r="AC255" s="216">
        <f>+AB255</f>
        <v>1</v>
      </c>
      <c r="AD255" s="213"/>
      <c r="AE255" s="218">
        <f>+'Plan de Accion apoyo transversa'!BX164</f>
        <v>0</v>
      </c>
      <c r="AF255" s="248" t="str">
        <f>+'Plan de Accion apoyo transversa'!CK164</f>
        <v>No Prog ni Ejec</v>
      </c>
      <c r="AG255" s="212" t="s">
        <v>204</v>
      </c>
      <c r="AH255" s="248">
        <f>+'Plan de Accion apoyo transversa'!CB164</f>
        <v>1</v>
      </c>
      <c r="AI255" s="211">
        <f>IF(AH255&gt;100%,100%,AH255)</f>
        <v>1</v>
      </c>
      <c r="AJ255" s="221"/>
      <c r="AL255" s="311"/>
      <c r="AM255" s="222"/>
      <c r="AN255" s="204"/>
      <c r="AO255" s="311"/>
      <c r="AP255" s="222"/>
      <c r="AQ255" s="204"/>
      <c r="AR255" s="311"/>
      <c r="AS255" s="222"/>
      <c r="AT255" s="204"/>
      <c r="AU255" s="311"/>
      <c r="AV255" s="222"/>
      <c r="AW255" s="202"/>
      <c r="AX255" s="221"/>
      <c r="AZ255" s="311"/>
      <c r="BA255" s="222"/>
      <c r="BB255" s="204"/>
      <c r="BC255" s="311"/>
      <c r="BD255" s="222"/>
      <c r="BE255" s="204"/>
      <c r="BF255" s="311"/>
      <c r="BG255" s="222"/>
      <c r="BH255" s="204"/>
      <c r="BI255" s="311"/>
      <c r="BJ255" s="222"/>
      <c r="BK255" s="202"/>
      <c r="BL255" s="221"/>
      <c r="BN255" s="311"/>
      <c r="BO255" s="222"/>
      <c r="BP255" s="204"/>
      <c r="BQ255" s="311"/>
      <c r="BR255" s="222"/>
      <c r="BS255" s="204"/>
      <c r="BT255" s="311"/>
      <c r="BU255" s="222"/>
      <c r="BV255" s="204"/>
      <c r="BW255" s="311"/>
      <c r="BX255" s="222"/>
      <c r="BY255" s="202"/>
      <c r="BZ255" s="221"/>
      <c r="CB255" s="311"/>
      <c r="CC255" s="222"/>
      <c r="CD255" s="204"/>
      <c r="CE255" s="311"/>
      <c r="CF255" s="222"/>
      <c r="CG255" s="204"/>
      <c r="CH255" s="311"/>
      <c r="CI255" s="222"/>
      <c r="CJ255" s="204"/>
      <c r="CK255" s="311"/>
      <c r="CL255" s="222"/>
      <c r="CM255" s="202"/>
      <c r="CN255" s="221"/>
    </row>
    <row r="256" spans="2:92" ht="29.25" thickBot="1" x14ac:dyDescent="0.25">
      <c r="B256" s="1469"/>
      <c r="C256" s="1551"/>
      <c r="D256" s="1442" t="s">
        <v>204</v>
      </c>
      <c r="E256" s="1439" t="s">
        <v>14</v>
      </c>
      <c r="F256" s="1442" t="s">
        <v>337</v>
      </c>
      <c r="G256" s="315" t="str">
        <f>+'Plan de Accion apoyo transversa'!X50</f>
        <v xml:space="preserve">Archivo documental transferido al custodio final </v>
      </c>
      <c r="H256" s="215" t="str">
        <f>+'Plan de Accion apoyo transversa'!AK50</f>
        <v># Cajas Transferidas por trimestre</v>
      </c>
      <c r="J256" s="218">
        <f>+'Plan de Accion apoyo transversa'!AT50</f>
        <v>84</v>
      </c>
      <c r="K256" s="476">
        <f>+'Plan de Accion apoyo transversa'!CE50</f>
        <v>0.84</v>
      </c>
      <c r="L256" s="476">
        <f>IF(K256&gt;100%,100%,K256)</f>
        <v>0.84</v>
      </c>
      <c r="M256" s="476">
        <f>+'Plan de Accion apoyo transversa'!AX50</f>
        <v>0.10357583230579531</v>
      </c>
      <c r="N256" s="476">
        <f t="shared" si="258"/>
        <v>0.10357583230579531</v>
      </c>
      <c r="O256" s="478">
        <f t="shared" si="259"/>
        <v>0.10357583230579531</v>
      </c>
      <c r="P256" s="213"/>
      <c r="Q256" s="218">
        <f>+'Plan de Accion apoyo transversa'!BD50</f>
        <v>300</v>
      </c>
      <c r="R256" s="248">
        <f>+'Plan de Accion apoyo transversa'!CG50</f>
        <v>1</v>
      </c>
      <c r="S256" s="212">
        <f t="shared" si="260"/>
        <v>1</v>
      </c>
      <c r="T256" s="304">
        <f>+'Plan de Accion apoyo transversa'!BH50</f>
        <v>0.47348951911220716</v>
      </c>
      <c r="U256" s="304">
        <f t="shared" si="261"/>
        <v>0.47348951911220716</v>
      </c>
      <c r="V256" s="211">
        <f t="shared" si="262"/>
        <v>0.47348951911220716</v>
      </c>
      <c r="W256" s="213"/>
      <c r="X256" s="218">
        <f>+'Plan de Accion apoyo transversa'!BN50</f>
        <v>300</v>
      </c>
      <c r="Y256" s="248">
        <f>+'Plan de Accion apoyo transversa'!CI50</f>
        <v>1</v>
      </c>
      <c r="Z256" s="212">
        <f t="shared" si="263"/>
        <v>1</v>
      </c>
      <c r="AA256" s="217">
        <f>+'Plan de Accion apoyo transversa'!BR50</f>
        <v>0.84340320591861895</v>
      </c>
      <c r="AB256" s="217">
        <f t="shared" si="264"/>
        <v>0.84340320591861895</v>
      </c>
      <c r="AC256" s="216">
        <f t="shared" si="265"/>
        <v>0.84340320591861895</v>
      </c>
      <c r="AD256" s="213"/>
      <c r="AE256" s="218">
        <f>+'Plan de Accion apoyo transversa'!BX50</f>
        <v>111</v>
      </c>
      <c r="AF256" s="248">
        <f>+'Plan de Accion apoyo transversa'!CK50</f>
        <v>1</v>
      </c>
      <c r="AG256" s="212">
        <f t="shared" si="266"/>
        <v>1</v>
      </c>
      <c r="AH256" s="248">
        <f>+'Plan de Accion apoyo transversa'!CB50</f>
        <v>0.98027127003699133</v>
      </c>
      <c r="AI256" s="211">
        <f t="shared" si="267"/>
        <v>0.98027127003699133</v>
      </c>
      <c r="AJ256" s="221"/>
      <c r="AL256" s="223"/>
      <c r="AM256" s="222"/>
      <c r="AN256" s="204"/>
      <c r="AO256" s="223"/>
      <c r="AP256" s="222"/>
      <c r="AQ256" s="204"/>
      <c r="AR256" s="223"/>
      <c r="AS256" s="222"/>
      <c r="AT256" s="204"/>
      <c r="AU256" s="223"/>
      <c r="AV256" s="222"/>
      <c r="AW256" s="202"/>
      <c r="AX256" s="221"/>
      <c r="AZ256" s="223"/>
      <c r="BA256" s="222"/>
      <c r="BB256" s="204"/>
      <c r="BC256" s="223"/>
      <c r="BD256" s="222"/>
      <c r="BE256" s="204"/>
      <c r="BF256" s="223"/>
      <c r="BG256" s="222"/>
      <c r="BH256" s="204"/>
      <c r="BI256" s="223"/>
      <c r="BJ256" s="222"/>
      <c r="BK256" s="202"/>
      <c r="BL256" s="221"/>
      <c r="BN256" s="223"/>
      <c r="BO256" s="222"/>
      <c r="BP256" s="204"/>
      <c r="BQ256" s="223"/>
      <c r="BR256" s="222"/>
      <c r="BS256" s="204"/>
      <c r="BT256" s="223"/>
      <c r="BU256" s="222"/>
      <c r="BV256" s="204"/>
      <c r="BW256" s="223"/>
      <c r="BX256" s="222"/>
      <c r="BY256" s="202"/>
      <c r="BZ256" s="221"/>
      <c r="CB256" s="223"/>
      <c r="CC256" s="222"/>
      <c r="CD256" s="204"/>
      <c r="CE256" s="223"/>
      <c r="CF256" s="222"/>
      <c r="CG256" s="204"/>
      <c r="CH256" s="223"/>
      <c r="CI256" s="222"/>
      <c r="CJ256" s="204"/>
      <c r="CK256" s="223"/>
      <c r="CL256" s="222"/>
      <c r="CM256" s="202"/>
      <c r="CN256" s="221"/>
    </row>
    <row r="257" spans="2:92" ht="57.75" thickBot="1" x14ac:dyDescent="0.25">
      <c r="B257" s="1469"/>
      <c r="C257" s="1551"/>
      <c r="D257" s="1443"/>
      <c r="E257" s="1440"/>
      <c r="F257" s="1443"/>
      <c r="G257" s="315" t="str">
        <f>+'Plan de Accion apoyo transversa'!X51</f>
        <v>Tablas de Retención Documental - TRD actualizadas y aprobadas</v>
      </c>
      <c r="H257" s="215" t="str">
        <f>+'Plan de Accion apoyo transversa'!AK51</f>
        <v># TRD actualizadas y aprobadas / # de TRD generadas y aprobadas en la vigencia 2018</v>
      </c>
      <c r="J257" s="214">
        <f>+'Plan de Accion apoyo transversa'!AT51</f>
        <v>0</v>
      </c>
      <c r="K257" s="476" t="str">
        <f>+'Plan de Accion apoyo transversa'!CE51</f>
        <v>No Prog ni Ejec</v>
      </c>
      <c r="L257" s="476" t="s">
        <v>204</v>
      </c>
      <c r="M257" s="476">
        <f>+'Plan de Accion apoyo transversa'!AX51</f>
        <v>0</v>
      </c>
      <c r="N257" s="476">
        <f t="shared" si="258"/>
        <v>0</v>
      </c>
      <c r="O257" s="478" t="s">
        <v>204</v>
      </c>
      <c r="P257" s="213"/>
      <c r="Q257" s="214">
        <f>+'Plan de Accion apoyo transversa'!BD51</f>
        <v>0</v>
      </c>
      <c r="R257" s="248" t="str">
        <f>+'Plan de Accion apoyo transversa'!CG51</f>
        <v>No Prog ni Ejec</v>
      </c>
      <c r="S257" s="212" t="s">
        <v>204</v>
      </c>
      <c r="T257" s="304">
        <f>+'Plan de Accion apoyo transversa'!BH51</f>
        <v>0</v>
      </c>
      <c r="U257" s="304">
        <f t="shared" si="261"/>
        <v>0</v>
      </c>
      <c r="V257" s="211" t="s">
        <v>204</v>
      </c>
      <c r="W257" s="213"/>
      <c r="X257" s="214">
        <f>+'Plan de Accion apoyo transversa'!BN51</f>
        <v>1</v>
      </c>
      <c r="Y257" s="248">
        <f>+'Plan de Accion apoyo transversa'!CI51</f>
        <v>1</v>
      </c>
      <c r="Z257" s="212">
        <f t="shared" si="263"/>
        <v>1</v>
      </c>
      <c r="AA257" s="217">
        <f>+'Plan de Accion apoyo transversa'!BR51</f>
        <v>1</v>
      </c>
      <c r="AB257" s="217">
        <f t="shared" si="264"/>
        <v>1</v>
      </c>
      <c r="AC257" s="216">
        <f t="shared" si="265"/>
        <v>1</v>
      </c>
      <c r="AD257" s="213"/>
      <c r="AE257" s="214">
        <f>+'Plan de Accion apoyo transversa'!BX51</f>
        <v>0</v>
      </c>
      <c r="AF257" s="248" t="str">
        <f>+'Plan de Accion apoyo transversa'!CK51</f>
        <v>No Prog ni Ejec</v>
      </c>
      <c r="AG257" s="212" t="s">
        <v>204</v>
      </c>
      <c r="AH257" s="248">
        <f>+'Plan de Accion apoyo transversa'!CB51</f>
        <v>1</v>
      </c>
      <c r="AI257" s="211">
        <f t="shared" si="267"/>
        <v>1</v>
      </c>
      <c r="AJ257" s="221"/>
      <c r="AL257" s="223"/>
      <c r="AM257" s="222"/>
      <c r="AN257" s="204"/>
      <c r="AO257" s="223"/>
      <c r="AP257" s="222"/>
      <c r="AQ257" s="204"/>
      <c r="AR257" s="223"/>
      <c r="AS257" s="222"/>
      <c r="AT257" s="204"/>
      <c r="AU257" s="223"/>
      <c r="AV257" s="222"/>
      <c r="AW257" s="202"/>
      <c r="AX257" s="221"/>
      <c r="AZ257" s="223"/>
      <c r="BA257" s="222"/>
      <c r="BB257" s="204"/>
      <c r="BC257" s="223"/>
      <c r="BD257" s="222"/>
      <c r="BE257" s="204"/>
      <c r="BF257" s="223"/>
      <c r="BG257" s="222"/>
      <c r="BH257" s="204"/>
      <c r="BI257" s="223"/>
      <c r="BJ257" s="222"/>
      <c r="BK257" s="202"/>
      <c r="BL257" s="221"/>
      <c r="BN257" s="223"/>
      <c r="BO257" s="222"/>
      <c r="BP257" s="204"/>
      <c r="BQ257" s="223"/>
      <c r="BR257" s="222"/>
      <c r="BS257" s="204"/>
      <c r="BT257" s="223"/>
      <c r="BU257" s="222"/>
      <c r="BV257" s="204"/>
      <c r="BW257" s="223"/>
      <c r="BX257" s="222"/>
      <c r="BY257" s="202"/>
      <c r="BZ257" s="221"/>
      <c r="CB257" s="223"/>
      <c r="CC257" s="222"/>
      <c r="CD257" s="204"/>
      <c r="CE257" s="223"/>
      <c r="CF257" s="222"/>
      <c r="CG257" s="204"/>
      <c r="CH257" s="223"/>
      <c r="CI257" s="222"/>
      <c r="CJ257" s="204"/>
      <c r="CK257" s="223"/>
      <c r="CL257" s="222"/>
      <c r="CM257" s="202"/>
      <c r="CN257" s="221"/>
    </row>
    <row r="258" spans="2:92" ht="57.75" thickBot="1" x14ac:dyDescent="0.25">
      <c r="B258" s="1469"/>
      <c r="C258" s="1551"/>
      <c r="D258" s="1443"/>
      <c r="E258" s="1440"/>
      <c r="F258" s="1443"/>
      <c r="G258" s="315" t="str">
        <f>+'Plan de Accion apoyo transversa'!X52</f>
        <v>Estudios técnicos, de mercado y económicos para la valoración documental</v>
      </c>
      <c r="H258" s="215" t="str">
        <f>+'Plan de Accion apoyo transversa'!AK52</f>
        <v># Estudios técnicos, de mercado y económicos para la valoración documental realizados</v>
      </c>
      <c r="J258" s="218">
        <f>+'Plan de Accion apoyo transversa'!AT52</f>
        <v>0</v>
      </c>
      <c r="K258" s="476" t="str">
        <f>+'Plan de Accion apoyo transversa'!CE52</f>
        <v>No Prog ni Ejec</v>
      </c>
      <c r="L258" s="476" t="s">
        <v>204</v>
      </c>
      <c r="M258" s="476">
        <f>+'Plan de Accion apoyo transversa'!AX52</f>
        <v>0</v>
      </c>
      <c r="N258" s="476">
        <f t="shared" si="258"/>
        <v>0</v>
      </c>
      <c r="O258" s="478" t="s">
        <v>204</v>
      </c>
      <c r="P258" s="213"/>
      <c r="Q258" s="218">
        <f>+'Plan de Accion apoyo transversa'!BD52</f>
        <v>0</v>
      </c>
      <c r="R258" s="248" t="str">
        <f>+'Plan de Accion apoyo transversa'!CG52</f>
        <v>No Prog ni Ejec</v>
      </c>
      <c r="S258" s="212" t="s">
        <v>204</v>
      </c>
      <c r="T258" s="304">
        <f>+'Plan de Accion apoyo transversa'!BH52</f>
        <v>0</v>
      </c>
      <c r="U258" s="304">
        <f t="shared" si="261"/>
        <v>0</v>
      </c>
      <c r="V258" s="211" t="s">
        <v>204</v>
      </c>
      <c r="W258" s="213"/>
      <c r="X258" s="218">
        <f>+'Plan de Accion apoyo transversa'!BN52</f>
        <v>1</v>
      </c>
      <c r="Y258" s="248">
        <f>+'Plan de Accion apoyo transversa'!CI52</f>
        <v>1</v>
      </c>
      <c r="Z258" s="212">
        <f t="shared" si="263"/>
        <v>1</v>
      </c>
      <c r="AA258" s="217">
        <f>+'Plan de Accion apoyo transversa'!BR52</f>
        <v>1</v>
      </c>
      <c r="AB258" s="217">
        <f t="shared" si="264"/>
        <v>1</v>
      </c>
      <c r="AC258" s="216">
        <f t="shared" si="265"/>
        <v>1</v>
      </c>
      <c r="AD258" s="213"/>
      <c r="AE258" s="218">
        <f>+'Plan de Accion apoyo transversa'!BX52</f>
        <v>0</v>
      </c>
      <c r="AF258" s="248" t="str">
        <f>+'Plan de Accion apoyo transversa'!CK52</f>
        <v>No Prog ni Ejec</v>
      </c>
      <c r="AG258" s="212" t="s">
        <v>204</v>
      </c>
      <c r="AH258" s="248">
        <f>+'Plan de Accion apoyo transversa'!CB52</f>
        <v>1</v>
      </c>
      <c r="AI258" s="211">
        <f t="shared" si="267"/>
        <v>1</v>
      </c>
      <c r="AJ258" s="221"/>
      <c r="AL258" s="223"/>
      <c r="AM258" s="222"/>
      <c r="AN258" s="204"/>
      <c r="AO258" s="223"/>
      <c r="AP258" s="222"/>
      <c r="AQ258" s="204"/>
      <c r="AR258" s="223"/>
      <c r="AS258" s="222"/>
      <c r="AT258" s="204"/>
      <c r="AU258" s="223"/>
      <c r="AV258" s="222"/>
      <c r="AW258" s="202"/>
      <c r="AX258" s="221"/>
      <c r="AZ258" s="223"/>
      <c r="BA258" s="222"/>
      <c r="BB258" s="204"/>
      <c r="BC258" s="223"/>
      <c r="BD258" s="222"/>
      <c r="BE258" s="204"/>
      <c r="BF258" s="223"/>
      <c r="BG258" s="222"/>
      <c r="BH258" s="204"/>
      <c r="BI258" s="223"/>
      <c r="BJ258" s="222"/>
      <c r="BK258" s="202"/>
      <c r="BL258" s="221"/>
      <c r="BN258" s="223"/>
      <c r="BO258" s="222"/>
      <c r="BP258" s="204"/>
      <c r="BQ258" s="223"/>
      <c r="BR258" s="222"/>
      <c r="BS258" s="204"/>
      <c r="BT258" s="223"/>
      <c r="BU258" s="222"/>
      <c r="BV258" s="204"/>
      <c r="BW258" s="223"/>
      <c r="BX258" s="222"/>
      <c r="BY258" s="202"/>
      <c r="BZ258" s="221"/>
      <c r="CB258" s="223"/>
      <c r="CC258" s="222"/>
      <c r="CD258" s="204"/>
      <c r="CE258" s="223"/>
      <c r="CF258" s="222"/>
      <c r="CG258" s="204"/>
      <c r="CH258" s="223"/>
      <c r="CI258" s="222"/>
      <c r="CJ258" s="204"/>
      <c r="CK258" s="223"/>
      <c r="CL258" s="222"/>
      <c r="CM258" s="202"/>
      <c r="CN258" s="221"/>
    </row>
    <row r="259" spans="2:92" ht="72" thickBot="1" x14ac:dyDescent="0.25">
      <c r="B259" s="1469"/>
      <c r="C259" s="1551"/>
      <c r="D259" s="1443"/>
      <c r="E259" s="1440"/>
      <c r="F259" s="1444"/>
      <c r="G259" s="315" t="str">
        <f>+'Plan de Accion apoyo transversa'!X53</f>
        <v>Informe de Política de "Cero papel" para aprobación del Comité Institucional de Gestión y Desempeño</v>
      </c>
      <c r="H259" s="215" t="str">
        <f>+'Plan de Accion apoyo transversa'!AK53</f>
        <v># Informes finales de la Política de "Cero papel" para aprobación del Comité Institucional de Gestión y Desempeño</v>
      </c>
      <c r="J259" s="218">
        <f>+'Plan de Accion apoyo transversa'!AT53</f>
        <v>0</v>
      </c>
      <c r="K259" s="476" t="str">
        <f>+'Plan de Accion apoyo transversa'!CE53</f>
        <v>No Prog ni Ejec</v>
      </c>
      <c r="L259" s="476" t="s">
        <v>204</v>
      </c>
      <c r="M259" s="476">
        <f>+'Plan de Accion apoyo transversa'!AX53</f>
        <v>0</v>
      </c>
      <c r="N259" s="476">
        <f t="shared" si="258"/>
        <v>0</v>
      </c>
      <c r="O259" s="478" t="s">
        <v>204</v>
      </c>
      <c r="P259" s="213"/>
      <c r="Q259" s="218">
        <f>+'Plan de Accion apoyo transversa'!BD53</f>
        <v>1</v>
      </c>
      <c r="R259" s="248">
        <f>+'Plan de Accion apoyo transversa'!CG53</f>
        <v>1</v>
      </c>
      <c r="S259" s="212">
        <f t="shared" si="260"/>
        <v>1</v>
      </c>
      <c r="T259" s="304">
        <f>+'Plan de Accion apoyo transversa'!BH53</f>
        <v>1</v>
      </c>
      <c r="U259" s="304">
        <f t="shared" si="261"/>
        <v>1</v>
      </c>
      <c r="V259" s="211">
        <f t="shared" si="262"/>
        <v>1</v>
      </c>
      <c r="W259" s="213"/>
      <c r="X259" s="218">
        <f>+'Plan de Accion apoyo transversa'!BN53</f>
        <v>0</v>
      </c>
      <c r="Y259" s="248" t="str">
        <f>+'Plan de Accion apoyo transversa'!CI53</f>
        <v>No Prog ni Ejec</v>
      </c>
      <c r="Z259" s="212" t="s">
        <v>204</v>
      </c>
      <c r="AA259" s="217">
        <f>+'Plan de Accion apoyo transversa'!BR53</f>
        <v>1</v>
      </c>
      <c r="AB259" s="217">
        <f t="shared" si="264"/>
        <v>1</v>
      </c>
      <c r="AC259" s="216" t="s">
        <v>204</v>
      </c>
      <c r="AD259" s="213"/>
      <c r="AE259" s="218">
        <f>+'Plan de Accion apoyo transversa'!BX53</f>
        <v>0</v>
      </c>
      <c r="AF259" s="248" t="str">
        <f>+'Plan de Accion apoyo transversa'!CK53</f>
        <v>No Prog ni Ejec</v>
      </c>
      <c r="AG259" s="212" t="s">
        <v>204</v>
      </c>
      <c r="AH259" s="248">
        <f>+'Plan de Accion apoyo transversa'!CB53</f>
        <v>1</v>
      </c>
      <c r="AI259" s="211">
        <f t="shared" si="267"/>
        <v>1</v>
      </c>
      <c r="AJ259" s="221"/>
      <c r="AL259" s="223"/>
      <c r="AM259" s="222"/>
      <c r="AN259" s="204"/>
      <c r="AO259" s="223"/>
      <c r="AP259" s="222"/>
      <c r="AQ259" s="204"/>
      <c r="AR259" s="223"/>
      <c r="AS259" s="222"/>
      <c r="AT259" s="204"/>
      <c r="AU259" s="223"/>
      <c r="AV259" s="222"/>
      <c r="AW259" s="202"/>
      <c r="AX259" s="221"/>
      <c r="AZ259" s="223"/>
      <c r="BA259" s="222"/>
      <c r="BB259" s="204"/>
      <c r="BC259" s="223"/>
      <c r="BD259" s="222"/>
      <c r="BE259" s="204"/>
      <c r="BF259" s="223"/>
      <c r="BG259" s="222"/>
      <c r="BH259" s="204"/>
      <c r="BI259" s="223"/>
      <c r="BJ259" s="222"/>
      <c r="BK259" s="202"/>
      <c r="BL259" s="221"/>
      <c r="BN259" s="223"/>
      <c r="BO259" s="222"/>
      <c r="BP259" s="204"/>
      <c r="BQ259" s="223"/>
      <c r="BR259" s="222"/>
      <c r="BS259" s="204"/>
      <c r="BT259" s="223"/>
      <c r="BU259" s="222"/>
      <c r="BV259" s="204"/>
      <c r="BW259" s="223"/>
      <c r="BX259" s="222"/>
      <c r="BY259" s="202"/>
      <c r="BZ259" s="221"/>
      <c r="CB259" s="223"/>
      <c r="CC259" s="222"/>
      <c r="CD259" s="204"/>
      <c r="CE259" s="223"/>
      <c r="CF259" s="222"/>
      <c r="CG259" s="204"/>
      <c r="CH259" s="223"/>
      <c r="CI259" s="222"/>
      <c r="CJ259" s="204"/>
      <c r="CK259" s="223"/>
      <c r="CL259" s="222"/>
      <c r="CM259" s="202"/>
      <c r="CN259" s="221"/>
    </row>
    <row r="260" spans="2:92" ht="86.25" thickBot="1" x14ac:dyDescent="0.25">
      <c r="B260" s="1469"/>
      <c r="C260" s="1551"/>
      <c r="D260" s="1443"/>
      <c r="E260" s="1440"/>
      <c r="F260" s="1443" t="s">
        <v>330</v>
      </c>
      <c r="G260" s="315" t="str">
        <f>+'Plan de Accion apoyo transversa'!X54</f>
        <v>Informe de Política y los indicadores de gestión ambiental y someterlos a aprobación del Comité Institucional de Gestión y Desempeño</v>
      </c>
      <c r="H260" s="215" t="str">
        <f>+'Plan de Accion apoyo transversa'!AK54</f>
        <v># Informes de Política y los indicadores de gestión ambiental para aprobación del Comité Institucional de Gestión y Desempeño</v>
      </c>
      <c r="J260" s="218">
        <f>+'Plan de Accion apoyo transversa'!AT54</f>
        <v>0</v>
      </c>
      <c r="K260" s="476" t="str">
        <f>+'Plan de Accion apoyo transversa'!CE54</f>
        <v>No Prog ni Ejec</v>
      </c>
      <c r="L260" s="476" t="s">
        <v>204</v>
      </c>
      <c r="M260" s="476">
        <f>+'Plan de Accion apoyo transversa'!AX54</f>
        <v>0</v>
      </c>
      <c r="N260" s="476">
        <f t="shared" si="258"/>
        <v>0</v>
      </c>
      <c r="O260" s="478" t="s">
        <v>204</v>
      </c>
      <c r="P260" s="213"/>
      <c r="Q260" s="218">
        <f>+'Plan de Accion apoyo transversa'!BD54</f>
        <v>0</v>
      </c>
      <c r="R260" s="248" t="str">
        <f>+'Plan de Accion apoyo transversa'!CG54</f>
        <v>No Prog ni Ejec</v>
      </c>
      <c r="S260" s="212" t="s">
        <v>204</v>
      </c>
      <c r="T260" s="304">
        <f>+'Plan de Accion apoyo transversa'!BH54</f>
        <v>0</v>
      </c>
      <c r="U260" s="304">
        <f t="shared" si="261"/>
        <v>0</v>
      </c>
      <c r="V260" s="211" t="s">
        <v>204</v>
      </c>
      <c r="W260" s="213"/>
      <c r="X260" s="218">
        <f>+'Plan de Accion apoyo transversa'!BN54</f>
        <v>1</v>
      </c>
      <c r="Y260" s="248">
        <f>+'Plan de Accion apoyo transversa'!CI54</f>
        <v>1</v>
      </c>
      <c r="Z260" s="212">
        <f t="shared" si="263"/>
        <v>1</v>
      </c>
      <c r="AA260" s="217">
        <f>+'Plan de Accion apoyo transversa'!BR54</f>
        <v>1</v>
      </c>
      <c r="AB260" s="217">
        <f t="shared" si="264"/>
        <v>1</v>
      </c>
      <c r="AC260" s="216">
        <f t="shared" si="265"/>
        <v>1</v>
      </c>
      <c r="AD260" s="213"/>
      <c r="AE260" s="218">
        <f>+'Plan de Accion apoyo transversa'!BX54</f>
        <v>0</v>
      </c>
      <c r="AF260" s="248" t="str">
        <f>+'Plan de Accion apoyo transversa'!CK54</f>
        <v>No Prog ni Ejec</v>
      </c>
      <c r="AG260" s="212" t="s">
        <v>204</v>
      </c>
      <c r="AH260" s="248">
        <f>+'Plan de Accion apoyo transversa'!CB54</f>
        <v>1</v>
      </c>
      <c r="AI260" s="211">
        <f t="shared" si="267"/>
        <v>1</v>
      </c>
      <c r="AJ260" s="221"/>
      <c r="AL260" s="223"/>
      <c r="AM260" s="222"/>
      <c r="AN260" s="204"/>
      <c r="AO260" s="223"/>
      <c r="AP260" s="222"/>
      <c r="AQ260" s="204"/>
      <c r="AR260" s="223"/>
      <c r="AS260" s="222"/>
      <c r="AT260" s="204"/>
      <c r="AU260" s="223"/>
      <c r="AV260" s="222"/>
      <c r="AW260" s="202"/>
      <c r="AX260" s="221"/>
      <c r="AZ260" s="223"/>
      <c r="BA260" s="222"/>
      <c r="BB260" s="204"/>
      <c r="BC260" s="223"/>
      <c r="BD260" s="222"/>
      <c r="BE260" s="204"/>
      <c r="BF260" s="223"/>
      <c r="BG260" s="222"/>
      <c r="BH260" s="204"/>
      <c r="BI260" s="223"/>
      <c r="BJ260" s="222"/>
      <c r="BK260" s="202"/>
      <c r="BL260" s="221"/>
      <c r="BN260" s="223"/>
      <c r="BO260" s="222"/>
      <c r="BP260" s="204"/>
      <c r="BQ260" s="223"/>
      <c r="BR260" s="222"/>
      <c r="BS260" s="204"/>
      <c r="BT260" s="223"/>
      <c r="BU260" s="222"/>
      <c r="BV260" s="204"/>
      <c r="BW260" s="223"/>
      <c r="BX260" s="222"/>
      <c r="BY260" s="202"/>
      <c r="BZ260" s="221"/>
      <c r="CB260" s="223"/>
      <c r="CC260" s="222"/>
      <c r="CD260" s="204"/>
      <c r="CE260" s="223"/>
      <c r="CF260" s="222"/>
      <c r="CG260" s="204"/>
      <c r="CH260" s="223"/>
      <c r="CI260" s="222"/>
      <c r="CJ260" s="204"/>
      <c r="CK260" s="223"/>
      <c r="CL260" s="222"/>
      <c r="CM260" s="202"/>
      <c r="CN260" s="221"/>
    </row>
    <row r="261" spans="2:92" ht="100.5" thickBot="1" x14ac:dyDescent="0.25">
      <c r="B261" s="1469"/>
      <c r="C261" s="1551"/>
      <c r="D261" s="1443"/>
      <c r="E261" s="1440"/>
      <c r="F261" s="1444"/>
      <c r="G261" s="315" t="str">
        <f>+'Plan de Accion apoyo transversa'!X55</f>
        <v>Informe de evaluación de los formatos de los procesos a cargo de la Dirección Administrativa y Financiera para determinar su conveniencia</v>
      </c>
      <c r="H261" s="215" t="str">
        <f>+'Plan de Accion apoyo transversa'!AK55</f>
        <v># Informe de evaluación de los formatos de los procesos a cargo  de la Dirección Administrativa y Financiera de la Dirección Administrativa y Financiera para determinar su conveniencia</v>
      </c>
      <c r="J261" s="218">
        <f>+'Plan de Accion apoyo transversa'!AT55</f>
        <v>1</v>
      </c>
      <c r="K261" s="476">
        <f>+'Plan de Accion apoyo transversa'!CE55</f>
        <v>1</v>
      </c>
      <c r="L261" s="476">
        <f>IF(K261&gt;100%,100%,K261)</f>
        <v>1</v>
      </c>
      <c r="M261" s="476">
        <f>+'Plan de Accion apoyo transversa'!AX55</f>
        <v>1</v>
      </c>
      <c r="N261" s="476">
        <f t="shared" si="258"/>
        <v>1</v>
      </c>
      <c r="O261" s="478">
        <f>+N261</f>
        <v>1</v>
      </c>
      <c r="P261" s="213"/>
      <c r="Q261" s="218">
        <f>+'Plan de Accion apoyo transversa'!BD55</f>
        <v>0</v>
      </c>
      <c r="R261" s="248" t="str">
        <f>+'Plan de Accion apoyo transversa'!CG55</f>
        <v>No Prog ni Ejec</v>
      </c>
      <c r="S261" s="212" t="s">
        <v>204</v>
      </c>
      <c r="T261" s="304">
        <f>+'Plan de Accion apoyo transversa'!BH55</f>
        <v>1</v>
      </c>
      <c r="U261" s="304">
        <f t="shared" si="261"/>
        <v>1</v>
      </c>
      <c r="V261" s="211">
        <f t="shared" si="262"/>
        <v>1</v>
      </c>
      <c r="W261" s="213"/>
      <c r="X261" s="218">
        <f>+'Plan de Accion apoyo transversa'!BN55</f>
        <v>0</v>
      </c>
      <c r="Y261" s="248" t="str">
        <f>+'Plan de Accion apoyo transversa'!CI55</f>
        <v>No Prog ni Ejec</v>
      </c>
      <c r="Z261" s="212" t="s">
        <v>204</v>
      </c>
      <c r="AA261" s="217">
        <f>+'Plan de Accion apoyo transversa'!BR55</f>
        <v>1</v>
      </c>
      <c r="AB261" s="217">
        <f t="shared" si="264"/>
        <v>1</v>
      </c>
      <c r="AC261" s="216">
        <f t="shared" si="265"/>
        <v>1</v>
      </c>
      <c r="AD261" s="213"/>
      <c r="AE261" s="218">
        <f>+'Plan de Accion apoyo transversa'!BX55</f>
        <v>0</v>
      </c>
      <c r="AF261" s="248" t="str">
        <f>+'Plan de Accion apoyo transversa'!CK55</f>
        <v>No Prog ni Ejec</v>
      </c>
      <c r="AG261" s="212" t="s">
        <v>204</v>
      </c>
      <c r="AH261" s="248">
        <f>+'Plan de Accion apoyo transversa'!CB55</f>
        <v>1</v>
      </c>
      <c r="AI261" s="211">
        <f t="shared" si="267"/>
        <v>1</v>
      </c>
      <c r="AJ261" s="221"/>
      <c r="AL261" s="223"/>
      <c r="AM261" s="222"/>
      <c r="AN261" s="204"/>
      <c r="AO261" s="223"/>
      <c r="AP261" s="222"/>
      <c r="AQ261" s="204"/>
      <c r="AR261" s="223"/>
      <c r="AS261" s="222"/>
      <c r="AT261" s="204"/>
      <c r="AU261" s="223"/>
      <c r="AV261" s="222"/>
      <c r="AW261" s="202"/>
      <c r="AX261" s="221"/>
      <c r="AZ261" s="223"/>
      <c r="BA261" s="222"/>
      <c r="BB261" s="204"/>
      <c r="BC261" s="223"/>
      <c r="BD261" s="222"/>
      <c r="BE261" s="204"/>
      <c r="BF261" s="223"/>
      <c r="BG261" s="222"/>
      <c r="BH261" s="204"/>
      <c r="BI261" s="223"/>
      <c r="BJ261" s="222"/>
      <c r="BK261" s="202"/>
      <c r="BL261" s="221"/>
      <c r="BN261" s="223"/>
      <c r="BO261" s="222"/>
      <c r="BP261" s="204"/>
      <c r="BQ261" s="223"/>
      <c r="BR261" s="222"/>
      <c r="BS261" s="204"/>
      <c r="BT261" s="223"/>
      <c r="BU261" s="222"/>
      <c r="BV261" s="204"/>
      <c r="BW261" s="223"/>
      <c r="BX261" s="222"/>
      <c r="BY261" s="202"/>
      <c r="BZ261" s="221"/>
      <c r="CB261" s="223"/>
      <c r="CC261" s="222"/>
      <c r="CD261" s="204"/>
      <c r="CE261" s="223"/>
      <c r="CF261" s="222"/>
      <c r="CG261" s="204"/>
      <c r="CH261" s="223"/>
      <c r="CI261" s="222"/>
      <c r="CJ261" s="204"/>
      <c r="CK261" s="223"/>
      <c r="CL261" s="222"/>
      <c r="CM261" s="202"/>
      <c r="CN261" s="221"/>
    </row>
    <row r="262" spans="2:92" ht="43.5" customHeight="1" thickBot="1" x14ac:dyDescent="0.25">
      <c r="B262" s="1469"/>
      <c r="C262" s="1551"/>
      <c r="D262" s="1443"/>
      <c r="E262" s="1440"/>
      <c r="F262" s="1443" t="s">
        <v>1179</v>
      </c>
      <c r="G262" s="315" t="str">
        <f>+'Plan de Accion apoyo transversa'!X57</f>
        <v>Matriz de requisitos legales actualizada</v>
      </c>
      <c r="H262" s="215" t="str">
        <f>+'Plan de Accion apoyo transversa'!AK57</f>
        <v># de actividades realizadas</v>
      </c>
      <c r="J262" s="218">
        <f>+'Plan de Accion apoyo transversa'!AT57</f>
        <v>0</v>
      </c>
      <c r="K262" s="476" t="str">
        <f>+'Plan de Accion apoyo transversa'!CE57</f>
        <v>No Prog ni Ejec</v>
      </c>
      <c r="L262" s="476" t="s">
        <v>204</v>
      </c>
      <c r="M262" s="476">
        <f>+'Plan de Accion apoyo transversa'!AX57</f>
        <v>0</v>
      </c>
      <c r="N262" s="476">
        <f t="shared" si="258"/>
        <v>0</v>
      </c>
      <c r="O262" s="478" t="s">
        <v>204</v>
      </c>
      <c r="P262" s="213"/>
      <c r="Q262" s="218">
        <f>+'Plan de Accion apoyo transversa'!BD57</f>
        <v>0</v>
      </c>
      <c r="R262" s="248" t="str">
        <f>+'Plan de Accion apoyo transversa'!CG57</f>
        <v>No Prog ni Ejec</v>
      </c>
      <c r="S262" s="212" t="s">
        <v>204</v>
      </c>
      <c r="T262" s="304">
        <f>+'Plan de Accion apoyo transversa'!BH57</f>
        <v>0</v>
      </c>
      <c r="U262" s="304">
        <f t="shared" ref="U262:U266" si="268">IF(T262&gt;100%,100%,T262)</f>
        <v>0</v>
      </c>
      <c r="V262" s="211" t="s">
        <v>204</v>
      </c>
      <c r="W262" s="213"/>
      <c r="X262" s="218">
        <f>+'Plan de Accion apoyo transversa'!BN57</f>
        <v>1</v>
      </c>
      <c r="Y262" s="248">
        <f>+'Plan de Accion apoyo transversa'!CI57</f>
        <v>1</v>
      </c>
      <c r="Z262" s="212" t="s">
        <v>204</v>
      </c>
      <c r="AA262" s="217">
        <f>+'Plan de Accion apoyo transversa'!BR57</f>
        <v>1</v>
      </c>
      <c r="AB262" s="217">
        <f t="shared" ref="AB262:AB266" si="269">IF(AA262&gt;100%,100%,AA262)</f>
        <v>1</v>
      </c>
      <c r="AC262" s="216">
        <f t="shared" ref="AC262:AC272" si="270">+AB262</f>
        <v>1</v>
      </c>
      <c r="AD262" s="213"/>
      <c r="AE262" s="218">
        <f>+'Plan de Accion apoyo transversa'!BX57</f>
        <v>0</v>
      </c>
      <c r="AF262" s="248" t="str">
        <f>+'Plan de Accion apoyo transversa'!CK57</f>
        <v>No Prog ni Ejec</v>
      </c>
      <c r="AG262" s="212" t="s">
        <v>204</v>
      </c>
      <c r="AH262" s="248">
        <f>+'Plan de Accion apoyo transversa'!CB57</f>
        <v>1</v>
      </c>
      <c r="AI262" s="211">
        <f t="shared" ref="AI262:AI267" si="271">IF(AH262&gt;100%,100%,AH262)</f>
        <v>1</v>
      </c>
      <c r="AJ262" s="221"/>
      <c r="AL262" s="311"/>
      <c r="AM262" s="222"/>
      <c r="AN262" s="204"/>
      <c r="AO262" s="311"/>
      <c r="AP262" s="222"/>
      <c r="AQ262" s="204"/>
      <c r="AR262" s="311"/>
      <c r="AS262" s="222"/>
      <c r="AT262" s="204"/>
      <c r="AU262" s="311"/>
      <c r="AV262" s="222"/>
      <c r="AW262" s="202"/>
      <c r="AX262" s="221"/>
      <c r="AZ262" s="311"/>
      <c r="BA262" s="222"/>
      <c r="BB262" s="204"/>
      <c r="BC262" s="311"/>
      <c r="BD262" s="222"/>
      <c r="BE262" s="204"/>
      <c r="BF262" s="311"/>
      <c r="BG262" s="222"/>
      <c r="BH262" s="204"/>
      <c r="BI262" s="311"/>
      <c r="BJ262" s="222"/>
      <c r="BK262" s="202"/>
      <c r="BL262" s="221"/>
      <c r="BN262" s="311"/>
      <c r="BO262" s="222"/>
      <c r="BP262" s="204"/>
      <c r="BQ262" s="311"/>
      <c r="BR262" s="222"/>
      <c r="BS262" s="204"/>
      <c r="BT262" s="311"/>
      <c r="BU262" s="222"/>
      <c r="BV262" s="204"/>
      <c r="BW262" s="311"/>
      <c r="BX262" s="222"/>
      <c r="BY262" s="202"/>
      <c r="BZ262" s="221"/>
      <c r="CB262" s="311"/>
      <c r="CC262" s="222"/>
      <c r="CD262" s="204"/>
      <c r="CE262" s="311"/>
      <c r="CF262" s="222"/>
      <c r="CG262" s="204"/>
      <c r="CH262" s="311"/>
      <c r="CI262" s="222"/>
      <c r="CJ262" s="204"/>
      <c r="CK262" s="311"/>
      <c r="CL262" s="222"/>
      <c r="CM262" s="202"/>
      <c r="CN262" s="221"/>
    </row>
    <row r="263" spans="2:92" ht="29.25" thickBot="1" x14ac:dyDescent="0.25">
      <c r="B263" s="1469"/>
      <c r="C263" s="1551"/>
      <c r="D263" s="1443"/>
      <c r="E263" s="1440"/>
      <c r="F263" s="1443"/>
      <c r="G263" s="315" t="str">
        <f>+'Plan de Accion apoyo transversa'!X58</f>
        <v>Documentos del SG-SST actualizados</v>
      </c>
      <c r="H263" s="215" t="str">
        <f>+'Plan de Accion apoyo transversa'!AK58</f>
        <v># de actividades realizadas</v>
      </c>
      <c r="J263" s="218">
        <f>+'Plan de Accion apoyo transversa'!AT58</f>
        <v>0</v>
      </c>
      <c r="K263" s="476" t="str">
        <f>+'Plan de Accion apoyo transversa'!CE58</f>
        <v>No Prog ni Ejec</v>
      </c>
      <c r="L263" s="476" t="s">
        <v>204</v>
      </c>
      <c r="M263" s="476">
        <f>+'Plan de Accion apoyo transversa'!AX58</f>
        <v>0</v>
      </c>
      <c r="N263" s="476">
        <f t="shared" si="258"/>
        <v>0</v>
      </c>
      <c r="O263" s="478" t="s">
        <v>204</v>
      </c>
      <c r="P263" s="213"/>
      <c r="Q263" s="218">
        <f>+'Plan de Accion apoyo transversa'!BD58</f>
        <v>0</v>
      </c>
      <c r="R263" s="248" t="str">
        <f>+'Plan de Accion apoyo transversa'!CG58</f>
        <v>No Prog ni Ejec</v>
      </c>
      <c r="S263" s="212" t="s">
        <v>204</v>
      </c>
      <c r="T263" s="304">
        <f>+'Plan de Accion apoyo transversa'!BH58</f>
        <v>0</v>
      </c>
      <c r="U263" s="304">
        <f t="shared" si="268"/>
        <v>0</v>
      </c>
      <c r="V263" s="211" t="s">
        <v>204</v>
      </c>
      <c r="W263" s="213"/>
      <c r="X263" s="218">
        <f>+'Plan de Accion apoyo transversa'!BN58</f>
        <v>1</v>
      </c>
      <c r="Y263" s="248">
        <f>+'Plan de Accion apoyo transversa'!CI58</f>
        <v>1</v>
      </c>
      <c r="Z263" s="212">
        <f t="shared" ref="Z263:Z265" si="272">IF(Y263&gt;100%,100%,Y263)</f>
        <v>1</v>
      </c>
      <c r="AA263" s="217">
        <f>+'Plan de Accion apoyo transversa'!BR58</f>
        <v>1</v>
      </c>
      <c r="AB263" s="217">
        <f t="shared" si="269"/>
        <v>1</v>
      </c>
      <c r="AC263" s="216">
        <f t="shared" si="270"/>
        <v>1</v>
      </c>
      <c r="AD263" s="213"/>
      <c r="AE263" s="218">
        <f>+'Plan de Accion apoyo transversa'!BX58</f>
        <v>0</v>
      </c>
      <c r="AF263" s="248" t="str">
        <f>+'Plan de Accion apoyo transversa'!CK58</f>
        <v>No Prog ni Ejec</v>
      </c>
      <c r="AG263" s="212" t="s">
        <v>204</v>
      </c>
      <c r="AH263" s="248">
        <f>+'Plan de Accion apoyo transversa'!CB58</f>
        <v>1</v>
      </c>
      <c r="AI263" s="211">
        <f t="shared" si="271"/>
        <v>1</v>
      </c>
      <c r="AJ263" s="221"/>
      <c r="AL263" s="311"/>
      <c r="AM263" s="222"/>
      <c r="AN263" s="204"/>
      <c r="AO263" s="311"/>
      <c r="AP263" s="222"/>
      <c r="AQ263" s="204"/>
      <c r="AR263" s="311"/>
      <c r="AS263" s="222"/>
      <c r="AT263" s="204"/>
      <c r="AU263" s="311"/>
      <c r="AV263" s="222"/>
      <c r="AW263" s="202"/>
      <c r="AX263" s="221"/>
      <c r="AZ263" s="311"/>
      <c r="BA263" s="222"/>
      <c r="BB263" s="204"/>
      <c r="BC263" s="311"/>
      <c r="BD263" s="222"/>
      <c r="BE263" s="204"/>
      <c r="BF263" s="311"/>
      <c r="BG263" s="222"/>
      <c r="BH263" s="204"/>
      <c r="BI263" s="311"/>
      <c r="BJ263" s="222"/>
      <c r="BK263" s="202"/>
      <c r="BL263" s="221"/>
      <c r="BN263" s="311"/>
      <c r="BO263" s="222"/>
      <c r="BP263" s="204"/>
      <c r="BQ263" s="311"/>
      <c r="BR263" s="222"/>
      <c r="BS263" s="204"/>
      <c r="BT263" s="311"/>
      <c r="BU263" s="222"/>
      <c r="BV263" s="204"/>
      <c r="BW263" s="311"/>
      <c r="BX263" s="222"/>
      <c r="BY263" s="202"/>
      <c r="BZ263" s="221"/>
      <c r="CB263" s="311"/>
      <c r="CC263" s="222"/>
      <c r="CD263" s="204"/>
      <c r="CE263" s="311"/>
      <c r="CF263" s="222"/>
      <c r="CG263" s="204"/>
      <c r="CH263" s="311"/>
      <c r="CI263" s="222"/>
      <c r="CJ263" s="204"/>
      <c r="CK263" s="311"/>
      <c r="CL263" s="222"/>
      <c r="CM263" s="202"/>
      <c r="CN263" s="221"/>
    </row>
    <row r="264" spans="2:92" ht="29.25" thickBot="1" x14ac:dyDescent="0.25">
      <c r="B264" s="1469"/>
      <c r="C264" s="1551"/>
      <c r="D264" s="1443"/>
      <c r="E264" s="1440"/>
      <c r="F264" s="1443"/>
      <c r="G264" s="315" t="str">
        <f>+'Plan de Accion apoyo transversa'!X59</f>
        <v>Programa de medicina preventiva elaborado</v>
      </c>
      <c r="H264" s="215" t="str">
        <f>+'Plan de Accion apoyo transversa'!AK59</f>
        <v># de actividades realizadas</v>
      </c>
      <c r="J264" s="218">
        <f>+'Plan de Accion apoyo transversa'!AT59</f>
        <v>0</v>
      </c>
      <c r="K264" s="476" t="str">
        <f>+'Plan de Accion apoyo transversa'!CE59</f>
        <v>No Prog ni Ejec</v>
      </c>
      <c r="L264" s="476" t="s">
        <v>204</v>
      </c>
      <c r="M264" s="476">
        <f>+'Plan de Accion apoyo transversa'!AX59</f>
        <v>0</v>
      </c>
      <c r="N264" s="476">
        <f t="shared" si="258"/>
        <v>0</v>
      </c>
      <c r="O264" s="478" t="s">
        <v>204</v>
      </c>
      <c r="P264" s="213"/>
      <c r="Q264" s="218">
        <f>+'Plan de Accion apoyo transversa'!BD59</f>
        <v>0</v>
      </c>
      <c r="R264" s="248" t="str">
        <f>+'Plan de Accion apoyo transversa'!CG59</f>
        <v>No Prog ni Ejec</v>
      </c>
      <c r="S264" s="212" t="s">
        <v>204</v>
      </c>
      <c r="T264" s="304">
        <f>+'Plan de Accion apoyo transversa'!BH59</f>
        <v>0</v>
      </c>
      <c r="U264" s="304">
        <f t="shared" si="268"/>
        <v>0</v>
      </c>
      <c r="V264" s="211" t="s">
        <v>204</v>
      </c>
      <c r="W264" s="213"/>
      <c r="X264" s="218">
        <f>+'Plan de Accion apoyo transversa'!BN59</f>
        <v>1</v>
      </c>
      <c r="Y264" s="248">
        <f>+'Plan de Accion apoyo transversa'!CI59</f>
        <v>1</v>
      </c>
      <c r="Z264" s="212">
        <f t="shared" si="272"/>
        <v>1</v>
      </c>
      <c r="AA264" s="217">
        <f>+'Plan de Accion apoyo transversa'!BR59</f>
        <v>1</v>
      </c>
      <c r="AB264" s="217">
        <f t="shared" si="269"/>
        <v>1</v>
      </c>
      <c r="AC264" s="216">
        <f t="shared" si="270"/>
        <v>1</v>
      </c>
      <c r="AD264" s="213"/>
      <c r="AE264" s="218">
        <f>+'Plan de Accion apoyo transversa'!BX59</f>
        <v>0</v>
      </c>
      <c r="AF264" s="248" t="str">
        <f>+'Plan de Accion apoyo transversa'!CK59</f>
        <v>No Prog ni Ejec</v>
      </c>
      <c r="AG264" s="212" t="s">
        <v>204</v>
      </c>
      <c r="AH264" s="248">
        <f>+'Plan de Accion apoyo transversa'!CB59</f>
        <v>1</v>
      </c>
      <c r="AI264" s="211">
        <f t="shared" si="271"/>
        <v>1</v>
      </c>
      <c r="AJ264" s="221"/>
      <c r="AL264" s="311"/>
      <c r="AM264" s="222"/>
      <c r="AN264" s="204"/>
      <c r="AO264" s="311"/>
      <c r="AP264" s="222"/>
      <c r="AQ264" s="204"/>
      <c r="AR264" s="311"/>
      <c r="AS264" s="222"/>
      <c r="AT264" s="204"/>
      <c r="AU264" s="311"/>
      <c r="AV264" s="222"/>
      <c r="AW264" s="202"/>
      <c r="AX264" s="221"/>
      <c r="AZ264" s="311"/>
      <c r="BA264" s="222"/>
      <c r="BB264" s="204"/>
      <c r="BC264" s="311"/>
      <c r="BD264" s="222"/>
      <c r="BE264" s="204"/>
      <c r="BF264" s="311"/>
      <c r="BG264" s="222"/>
      <c r="BH264" s="204"/>
      <c r="BI264" s="311"/>
      <c r="BJ264" s="222"/>
      <c r="BK264" s="202"/>
      <c r="BL264" s="221"/>
      <c r="BN264" s="311"/>
      <c r="BO264" s="222"/>
      <c r="BP264" s="204"/>
      <c r="BQ264" s="311"/>
      <c r="BR264" s="222"/>
      <c r="BS264" s="204"/>
      <c r="BT264" s="311"/>
      <c r="BU264" s="222"/>
      <c r="BV264" s="204"/>
      <c r="BW264" s="311"/>
      <c r="BX264" s="222"/>
      <c r="BY264" s="202"/>
      <c r="BZ264" s="221"/>
      <c r="CB264" s="311"/>
      <c r="CC264" s="222"/>
      <c r="CD264" s="204"/>
      <c r="CE264" s="311"/>
      <c r="CF264" s="222"/>
      <c r="CG264" s="204"/>
      <c r="CH264" s="311"/>
      <c r="CI264" s="222"/>
      <c r="CJ264" s="204"/>
      <c r="CK264" s="311"/>
      <c r="CL264" s="222"/>
      <c r="CM264" s="202"/>
      <c r="CN264" s="221"/>
    </row>
    <row r="265" spans="2:92" ht="29.25" thickBot="1" x14ac:dyDescent="0.25">
      <c r="B265" s="1469"/>
      <c r="C265" s="1551"/>
      <c r="D265" s="1443"/>
      <c r="E265" s="1440"/>
      <c r="F265" s="1443"/>
      <c r="G265" s="315" t="str">
        <f>+'Plan de Accion apoyo transversa'!X60</f>
        <v>Programa de orden y aseso elaborado</v>
      </c>
      <c r="H265" s="215" t="str">
        <f>+'Plan de Accion apoyo transversa'!AK60</f>
        <v># de actividades realizadas</v>
      </c>
      <c r="J265" s="218">
        <f>+'Plan de Accion apoyo transversa'!AT60</f>
        <v>0</v>
      </c>
      <c r="K265" s="476" t="str">
        <f>+'Plan de Accion apoyo transversa'!CE60</f>
        <v>No Prog ni Ejec</v>
      </c>
      <c r="L265" s="476" t="s">
        <v>204</v>
      </c>
      <c r="M265" s="476">
        <f>+'Plan de Accion apoyo transversa'!AX60</f>
        <v>0</v>
      </c>
      <c r="N265" s="476">
        <f t="shared" si="258"/>
        <v>0</v>
      </c>
      <c r="O265" s="478" t="s">
        <v>204</v>
      </c>
      <c r="P265" s="213"/>
      <c r="Q265" s="218">
        <f>+'Plan de Accion apoyo transversa'!BD60</f>
        <v>0</v>
      </c>
      <c r="R265" s="248" t="str">
        <f>+'Plan de Accion apoyo transversa'!CG60</f>
        <v>No Prog ni Ejec</v>
      </c>
      <c r="S265" s="212" t="s">
        <v>204</v>
      </c>
      <c r="T265" s="304">
        <f>+'Plan de Accion apoyo transversa'!BH60</f>
        <v>0</v>
      </c>
      <c r="U265" s="304">
        <f t="shared" si="268"/>
        <v>0</v>
      </c>
      <c r="V265" s="211" t="s">
        <v>204</v>
      </c>
      <c r="W265" s="213"/>
      <c r="X265" s="218">
        <f>+'Plan de Accion apoyo transversa'!BN60</f>
        <v>1</v>
      </c>
      <c r="Y265" s="248">
        <f>+'Plan de Accion apoyo transversa'!CI60</f>
        <v>1</v>
      </c>
      <c r="Z265" s="212">
        <f t="shared" si="272"/>
        <v>1</v>
      </c>
      <c r="AA265" s="217">
        <f>+'Plan de Accion apoyo transversa'!BR60</f>
        <v>1</v>
      </c>
      <c r="AB265" s="217">
        <f t="shared" si="269"/>
        <v>1</v>
      </c>
      <c r="AC265" s="216">
        <f t="shared" si="270"/>
        <v>1</v>
      </c>
      <c r="AD265" s="213"/>
      <c r="AE265" s="218">
        <f>+'Plan de Accion apoyo transversa'!BX60</f>
        <v>0</v>
      </c>
      <c r="AF265" s="248" t="str">
        <f>+'Plan de Accion apoyo transversa'!CK60</f>
        <v>No Prog ni Ejec</v>
      </c>
      <c r="AG265" s="212" t="s">
        <v>204</v>
      </c>
      <c r="AH265" s="248">
        <f>+'Plan de Accion apoyo transversa'!CB60</f>
        <v>1</v>
      </c>
      <c r="AI265" s="211">
        <f t="shared" si="271"/>
        <v>1</v>
      </c>
      <c r="AJ265" s="221"/>
      <c r="AL265" s="311"/>
      <c r="AM265" s="222"/>
      <c r="AN265" s="204"/>
      <c r="AO265" s="311"/>
      <c r="AP265" s="222"/>
      <c r="AQ265" s="204"/>
      <c r="AR265" s="311"/>
      <c r="AS265" s="222"/>
      <c r="AT265" s="204"/>
      <c r="AU265" s="311"/>
      <c r="AV265" s="222"/>
      <c r="AW265" s="202"/>
      <c r="AX265" s="221"/>
      <c r="AZ265" s="311"/>
      <c r="BA265" s="222"/>
      <c r="BB265" s="204"/>
      <c r="BC265" s="311"/>
      <c r="BD265" s="222"/>
      <c r="BE265" s="204"/>
      <c r="BF265" s="311"/>
      <c r="BG265" s="222"/>
      <c r="BH265" s="204"/>
      <c r="BI265" s="311"/>
      <c r="BJ265" s="222"/>
      <c r="BK265" s="202"/>
      <c r="BL265" s="221"/>
      <c r="BN265" s="311"/>
      <c r="BO265" s="222"/>
      <c r="BP265" s="204"/>
      <c r="BQ265" s="311"/>
      <c r="BR265" s="222"/>
      <c r="BS265" s="204"/>
      <c r="BT265" s="311"/>
      <c r="BU265" s="222"/>
      <c r="BV265" s="204"/>
      <c r="BW265" s="311"/>
      <c r="BX265" s="222"/>
      <c r="BY265" s="202"/>
      <c r="BZ265" s="221"/>
      <c r="CB265" s="311"/>
      <c r="CC265" s="222"/>
      <c r="CD265" s="204"/>
      <c r="CE265" s="311"/>
      <c r="CF265" s="222"/>
      <c r="CG265" s="204"/>
      <c r="CH265" s="311"/>
      <c r="CI265" s="222"/>
      <c r="CJ265" s="204"/>
      <c r="CK265" s="311"/>
      <c r="CL265" s="222"/>
      <c r="CM265" s="202"/>
      <c r="CN265" s="221"/>
    </row>
    <row r="266" spans="2:92" ht="57.75" thickBot="1" x14ac:dyDescent="0.25">
      <c r="B266" s="1469"/>
      <c r="C266" s="1551"/>
      <c r="D266" s="1443"/>
      <c r="E266" s="1440"/>
      <c r="F266" s="1443"/>
      <c r="G266" s="315" t="str">
        <f>+'Plan de Accion apoyo transversa'!X61</f>
        <v>Programa de vigilancia epidemiológicos  de riesgo Psicosocial y Biomecánico elaborado</v>
      </c>
      <c r="H266" s="215" t="str">
        <f>+'Plan de Accion apoyo transversa'!AK61</f>
        <v># de actividades realizadas</v>
      </c>
      <c r="J266" s="218">
        <f>+'Plan de Accion apoyo transversa'!AT61</f>
        <v>0</v>
      </c>
      <c r="K266" s="476" t="str">
        <f>+'Plan de Accion apoyo transversa'!CE61</f>
        <v>No Prog ni Ejec</v>
      </c>
      <c r="L266" s="476" t="s">
        <v>204</v>
      </c>
      <c r="M266" s="476">
        <f>+'Plan de Accion apoyo transversa'!AX61</f>
        <v>0</v>
      </c>
      <c r="N266" s="476">
        <f t="shared" si="258"/>
        <v>0</v>
      </c>
      <c r="O266" s="478" t="s">
        <v>204</v>
      </c>
      <c r="P266" s="213"/>
      <c r="Q266" s="218">
        <f>+'Plan de Accion apoyo transversa'!BD61</f>
        <v>0</v>
      </c>
      <c r="R266" s="248" t="str">
        <f>+'Plan de Accion apoyo transversa'!CG61</f>
        <v>No Prog ni Ejec</v>
      </c>
      <c r="S266" s="212" t="s">
        <v>204</v>
      </c>
      <c r="T266" s="304">
        <f>+'Plan de Accion apoyo transversa'!BH61</f>
        <v>0</v>
      </c>
      <c r="U266" s="304">
        <f t="shared" si="268"/>
        <v>0</v>
      </c>
      <c r="V266" s="211" t="s">
        <v>204</v>
      </c>
      <c r="W266" s="213"/>
      <c r="X266" s="218">
        <f>+'Plan de Accion apoyo transversa'!BN61</f>
        <v>1</v>
      </c>
      <c r="Y266" s="248">
        <f>+'Plan de Accion apoyo transversa'!CI61</f>
        <v>1</v>
      </c>
      <c r="Z266" s="212">
        <f t="shared" ref="Z266:Z271" si="273">IF(Y266&gt;100%,100%,Y266)</f>
        <v>1</v>
      </c>
      <c r="AA266" s="217">
        <f>+'Plan de Accion apoyo transversa'!BR61</f>
        <v>1</v>
      </c>
      <c r="AB266" s="217">
        <f t="shared" si="269"/>
        <v>1</v>
      </c>
      <c r="AC266" s="216">
        <f t="shared" si="270"/>
        <v>1</v>
      </c>
      <c r="AD266" s="213"/>
      <c r="AE266" s="218">
        <f>+'Plan de Accion apoyo transversa'!BX61</f>
        <v>0</v>
      </c>
      <c r="AF266" s="248" t="str">
        <f>+'Plan de Accion apoyo transversa'!CK61</f>
        <v>No Prog ni Ejec</v>
      </c>
      <c r="AG266" s="212" t="s">
        <v>204</v>
      </c>
      <c r="AH266" s="248">
        <f>+'Plan de Accion apoyo transversa'!CB61</f>
        <v>1</v>
      </c>
      <c r="AI266" s="211">
        <f t="shared" si="271"/>
        <v>1</v>
      </c>
      <c r="AJ266" s="221"/>
      <c r="AL266" s="311"/>
      <c r="AM266" s="222"/>
      <c r="AN266" s="204"/>
      <c r="AO266" s="311"/>
      <c r="AP266" s="222"/>
      <c r="AQ266" s="204"/>
      <c r="AR266" s="311"/>
      <c r="AS266" s="222"/>
      <c r="AT266" s="204"/>
      <c r="AU266" s="311"/>
      <c r="AV266" s="222"/>
      <c r="AW266" s="202"/>
      <c r="AX266" s="221"/>
      <c r="AZ266" s="311"/>
      <c r="BA266" s="222"/>
      <c r="BB266" s="204"/>
      <c r="BC266" s="311"/>
      <c r="BD266" s="222"/>
      <c r="BE266" s="204"/>
      <c r="BF266" s="311"/>
      <c r="BG266" s="222"/>
      <c r="BH266" s="204"/>
      <c r="BI266" s="311"/>
      <c r="BJ266" s="222"/>
      <c r="BK266" s="202"/>
      <c r="BL266" s="221"/>
      <c r="BN266" s="311"/>
      <c r="BO266" s="222"/>
      <c r="BP266" s="204"/>
      <c r="BQ266" s="311"/>
      <c r="BR266" s="222"/>
      <c r="BS266" s="204"/>
      <c r="BT266" s="311"/>
      <c r="BU266" s="222"/>
      <c r="BV266" s="204"/>
      <c r="BW266" s="311"/>
      <c r="BX266" s="222"/>
      <c r="BY266" s="202"/>
      <c r="BZ266" s="221"/>
      <c r="CB266" s="311"/>
      <c r="CC266" s="222"/>
      <c r="CD266" s="204"/>
      <c r="CE266" s="311"/>
      <c r="CF266" s="222"/>
      <c r="CG266" s="204"/>
      <c r="CH266" s="311"/>
      <c r="CI266" s="222"/>
      <c r="CJ266" s="204"/>
      <c r="CK266" s="311"/>
      <c r="CL266" s="222"/>
      <c r="CM266" s="202"/>
      <c r="CN266" s="221"/>
    </row>
    <row r="267" spans="2:92" ht="57.75" thickBot="1" x14ac:dyDescent="0.25">
      <c r="B267" s="1469"/>
      <c r="C267" s="1551"/>
      <c r="D267" s="1443"/>
      <c r="E267" s="1440"/>
      <c r="F267" s="1443"/>
      <c r="G267" s="315" t="str">
        <f>+'Plan de Accion apoyo transversa'!X62</f>
        <v>Programa de manejo de sustancias químicas (Sistema Globalmente armonizado) elaborado</v>
      </c>
      <c r="H267" s="215" t="str">
        <f>+'Plan de Accion apoyo transversa'!AK62</f>
        <v># de actividades realizadas</v>
      </c>
      <c r="J267" s="218">
        <f>+'Plan de Accion apoyo transversa'!AT62</f>
        <v>0</v>
      </c>
      <c r="K267" s="476" t="str">
        <f>+'Plan de Accion apoyo transversa'!CE62</f>
        <v>No Prog ni Ejec</v>
      </c>
      <c r="L267" s="476" t="s">
        <v>204</v>
      </c>
      <c r="M267" s="650" t="s">
        <v>204</v>
      </c>
      <c r="N267" s="650" t="s">
        <v>204</v>
      </c>
      <c r="O267" s="478" t="s">
        <v>204</v>
      </c>
      <c r="P267" s="213"/>
      <c r="Q267" s="218">
        <f>+'Plan de Accion apoyo transversa'!BD62</f>
        <v>0</v>
      </c>
      <c r="R267" s="248" t="str">
        <f>+'Plan de Accion apoyo transversa'!CG62</f>
        <v>No Prog ni Ejec</v>
      </c>
      <c r="S267" s="212" t="s">
        <v>204</v>
      </c>
      <c r="T267" s="304" t="s">
        <v>204</v>
      </c>
      <c r="U267" s="304" t="s">
        <v>204</v>
      </c>
      <c r="V267" s="211" t="s">
        <v>204</v>
      </c>
      <c r="W267" s="213"/>
      <c r="X267" s="218">
        <f>+'Plan de Accion apoyo transversa'!BN62</f>
        <v>1</v>
      </c>
      <c r="Y267" s="248">
        <f>+'Plan de Accion apoyo transversa'!CI62</f>
        <v>1</v>
      </c>
      <c r="Z267" s="212">
        <f t="shared" ref="Z267" si="274">IF(Y267&gt;100%,100%,Y267)</f>
        <v>1</v>
      </c>
      <c r="AA267" s="217">
        <f>+'Plan de Accion apoyo transversa'!BR62</f>
        <v>1</v>
      </c>
      <c r="AB267" s="217">
        <f t="shared" ref="AB267" si="275">IF(AA267&gt;100%,100%,AA267)</f>
        <v>1</v>
      </c>
      <c r="AC267" s="216">
        <f t="shared" ref="AC267" si="276">+AB267</f>
        <v>1</v>
      </c>
      <c r="AD267" s="213"/>
      <c r="AE267" s="218">
        <f>+'Plan de Accion apoyo transversa'!BX62</f>
        <v>0</v>
      </c>
      <c r="AF267" s="248" t="str">
        <f>+'Plan de Accion apoyo transversa'!CK62</f>
        <v>No Prog ni Ejec</v>
      </c>
      <c r="AG267" s="212" t="s">
        <v>204</v>
      </c>
      <c r="AH267" s="248">
        <f>+'Plan de Accion apoyo transversa'!CB62</f>
        <v>1</v>
      </c>
      <c r="AI267" s="211">
        <f t="shared" si="271"/>
        <v>1</v>
      </c>
      <c r="AJ267" s="221"/>
      <c r="AL267" s="311"/>
      <c r="AM267" s="222"/>
      <c r="AN267" s="204"/>
      <c r="AO267" s="311"/>
      <c r="AP267" s="222"/>
      <c r="AQ267" s="204"/>
      <c r="AR267" s="311"/>
      <c r="AS267" s="222"/>
      <c r="AT267" s="204"/>
      <c r="AU267" s="311"/>
      <c r="AV267" s="222"/>
      <c r="AW267" s="202"/>
      <c r="AX267" s="221"/>
      <c r="AZ267" s="311"/>
      <c r="BA267" s="222"/>
      <c r="BB267" s="204"/>
      <c r="BC267" s="311"/>
      <c r="BD267" s="222"/>
      <c r="BE267" s="204"/>
      <c r="BF267" s="311"/>
      <c r="BG267" s="222"/>
      <c r="BH267" s="204"/>
      <c r="BI267" s="311"/>
      <c r="BJ267" s="222"/>
      <c r="BK267" s="202"/>
      <c r="BL267" s="221"/>
      <c r="BN267" s="311"/>
      <c r="BO267" s="222"/>
      <c r="BP267" s="204"/>
      <c r="BQ267" s="311"/>
      <c r="BR267" s="222"/>
      <c r="BS267" s="204"/>
      <c r="BT267" s="311"/>
      <c r="BU267" s="222"/>
      <c r="BV267" s="204"/>
      <c r="BW267" s="311"/>
      <c r="BX267" s="222"/>
      <c r="BY267" s="202"/>
      <c r="BZ267" s="221"/>
      <c r="CB267" s="311"/>
      <c r="CC267" s="222"/>
      <c r="CD267" s="204"/>
      <c r="CE267" s="311"/>
      <c r="CF267" s="222"/>
      <c r="CG267" s="204"/>
      <c r="CH267" s="311"/>
      <c r="CI267" s="222"/>
      <c r="CJ267" s="204"/>
      <c r="CK267" s="311"/>
      <c r="CL267" s="222"/>
      <c r="CM267" s="202"/>
      <c r="CN267" s="221"/>
    </row>
    <row r="268" spans="2:92" ht="43.5" thickBot="1" x14ac:dyDescent="0.25">
      <c r="B268" s="1469"/>
      <c r="C268" s="1551"/>
      <c r="D268" s="1443"/>
      <c r="E268" s="1440"/>
      <c r="F268" s="1443"/>
      <c r="G268" s="315" t="str">
        <f>+'Plan de Accion apoyo transversa'!X66</f>
        <v>Jornada de divulgación  del programa de inspecciones  realizada</v>
      </c>
      <c r="H268" s="215" t="str">
        <f>+'Plan de Accion apoyo transversa'!AK66</f>
        <v># de actividades realizadas</v>
      </c>
      <c r="J268" s="218">
        <f>+'Plan de Accion apoyo transversa'!AT66</f>
        <v>0</v>
      </c>
      <c r="K268" s="476" t="str">
        <f>+'Plan de Accion apoyo transversa'!CE66</f>
        <v>No Prog ni Ejec</v>
      </c>
      <c r="L268" s="476" t="s">
        <v>204</v>
      </c>
      <c r="M268" s="476">
        <f>+'Plan de Accion apoyo transversa'!AX66</f>
        <v>0</v>
      </c>
      <c r="N268" s="476">
        <f t="shared" si="258"/>
        <v>0</v>
      </c>
      <c r="O268" s="478" t="s">
        <v>204</v>
      </c>
      <c r="P268" s="213"/>
      <c r="Q268" s="218" t="s">
        <v>204</v>
      </c>
      <c r="R268" s="248" t="s">
        <v>180</v>
      </c>
      <c r="S268" s="212" t="s">
        <v>204</v>
      </c>
      <c r="T268" s="304" t="s">
        <v>204</v>
      </c>
      <c r="U268" s="304" t="s">
        <v>204</v>
      </c>
      <c r="V268" s="211" t="str">
        <f>+U268</f>
        <v>N.A</v>
      </c>
      <c r="W268" s="213"/>
      <c r="X268" s="218" t="s">
        <v>204</v>
      </c>
      <c r="Y268" s="248" t="str">
        <f>+'Plan de Accion apoyo transversa'!CI66</f>
        <v>No Prog ni Ejec</v>
      </c>
      <c r="Z268" s="212" t="s">
        <v>204</v>
      </c>
      <c r="AA268" s="217" t="s">
        <v>204</v>
      </c>
      <c r="AB268" s="217" t="s">
        <v>204</v>
      </c>
      <c r="AC268" s="216" t="str">
        <f t="shared" si="270"/>
        <v>N.A</v>
      </c>
      <c r="AD268" s="213"/>
      <c r="AE268" s="218" t="s">
        <v>204</v>
      </c>
      <c r="AF268" s="248" t="str">
        <f>+'Plan de Accion apoyo transversa'!CK66</f>
        <v>No Prog ni Ejec</v>
      </c>
      <c r="AG268" s="212" t="s">
        <v>204</v>
      </c>
      <c r="AH268" s="248" t="s">
        <v>204</v>
      </c>
      <c r="AI268" s="211" t="s">
        <v>204</v>
      </c>
      <c r="AJ268" s="221"/>
      <c r="AL268" s="311"/>
      <c r="AM268" s="222"/>
      <c r="AN268" s="204"/>
      <c r="AO268" s="311"/>
      <c r="AP268" s="222"/>
      <c r="AQ268" s="204"/>
      <c r="AR268" s="311"/>
      <c r="AS268" s="222"/>
      <c r="AT268" s="204"/>
      <c r="AU268" s="311"/>
      <c r="AV268" s="222"/>
      <c r="AW268" s="202"/>
      <c r="AX268" s="221"/>
      <c r="AZ268" s="311"/>
      <c r="BA268" s="222"/>
      <c r="BB268" s="204"/>
      <c r="BC268" s="311"/>
      <c r="BD268" s="222"/>
      <c r="BE268" s="204"/>
      <c r="BF268" s="311"/>
      <c r="BG268" s="222"/>
      <c r="BH268" s="204"/>
      <c r="BI268" s="311"/>
      <c r="BJ268" s="222"/>
      <c r="BK268" s="202"/>
      <c r="BL268" s="221"/>
      <c r="BN268" s="311"/>
      <c r="BO268" s="222"/>
      <c r="BP268" s="204"/>
      <c r="BQ268" s="311"/>
      <c r="BR268" s="222"/>
      <c r="BS268" s="204"/>
      <c r="BT268" s="311"/>
      <c r="BU268" s="222"/>
      <c r="BV268" s="204"/>
      <c r="BW268" s="311"/>
      <c r="BX268" s="222"/>
      <c r="BY268" s="202"/>
      <c r="BZ268" s="221"/>
      <c r="CB268" s="311"/>
      <c r="CC268" s="222"/>
      <c r="CD268" s="204"/>
      <c r="CE268" s="311"/>
      <c r="CF268" s="222"/>
      <c r="CG268" s="204"/>
      <c r="CH268" s="311"/>
      <c r="CI268" s="222"/>
      <c r="CJ268" s="204"/>
      <c r="CK268" s="311"/>
      <c r="CL268" s="222"/>
      <c r="CM268" s="202"/>
      <c r="CN268" s="221"/>
    </row>
    <row r="269" spans="2:92" ht="43.5" thickBot="1" x14ac:dyDescent="0.25">
      <c r="B269" s="1469"/>
      <c r="C269" s="1551"/>
      <c r="D269" s="1443"/>
      <c r="E269" s="1440"/>
      <c r="F269" s="1443"/>
      <c r="G269" s="315" t="str">
        <f>+'Plan de Accion apoyo transversa'!X67</f>
        <v>Jornada de divulgación del programa de mantenimiento realizada</v>
      </c>
      <c r="H269" s="215" t="str">
        <f>+'Plan de Accion apoyo transversa'!AK67</f>
        <v># de actividades realizadas</v>
      </c>
      <c r="J269" s="218">
        <f>+'Plan de Accion apoyo transversa'!AT67</f>
        <v>0</v>
      </c>
      <c r="K269" s="476" t="str">
        <f>+'Plan de Accion apoyo transversa'!CE67</f>
        <v>No Prog ni Ejec</v>
      </c>
      <c r="L269" s="476" t="s">
        <v>204</v>
      </c>
      <c r="M269" s="476">
        <f>+'Plan de Accion apoyo transversa'!AX67</f>
        <v>0</v>
      </c>
      <c r="N269" s="476">
        <f t="shared" si="258"/>
        <v>0</v>
      </c>
      <c r="O269" s="478" t="s">
        <v>204</v>
      </c>
      <c r="P269" s="213"/>
      <c r="Q269" s="218" t="s">
        <v>204</v>
      </c>
      <c r="R269" s="248" t="s">
        <v>180</v>
      </c>
      <c r="S269" s="212" t="s">
        <v>204</v>
      </c>
      <c r="T269" s="544" t="s">
        <v>204</v>
      </c>
      <c r="U269" s="544" t="s">
        <v>204</v>
      </c>
      <c r="V269" s="211" t="str">
        <f>+U269</f>
        <v>N.A</v>
      </c>
      <c r="W269" s="213"/>
      <c r="X269" s="218" t="s">
        <v>204</v>
      </c>
      <c r="Y269" s="248" t="str">
        <f>+'Plan de Accion apoyo transversa'!CI67</f>
        <v>No Prog ni Ejec</v>
      </c>
      <c r="Z269" s="212" t="s">
        <v>204</v>
      </c>
      <c r="AA269" s="217" t="s">
        <v>204</v>
      </c>
      <c r="AB269" s="217" t="s">
        <v>204</v>
      </c>
      <c r="AC269" s="216" t="str">
        <f t="shared" ref="AC269" si="277">+AB269</f>
        <v>N.A</v>
      </c>
      <c r="AD269" s="213"/>
      <c r="AE269" s="218" t="s">
        <v>204</v>
      </c>
      <c r="AF269" s="248" t="s">
        <v>180</v>
      </c>
      <c r="AG269" s="212" t="s">
        <v>204</v>
      </c>
      <c r="AH269" s="248" t="s">
        <v>204</v>
      </c>
      <c r="AI269" s="211" t="s">
        <v>204</v>
      </c>
      <c r="AJ269" s="221"/>
      <c r="AL269" s="311"/>
      <c r="AM269" s="222"/>
      <c r="AN269" s="204"/>
      <c r="AO269" s="311"/>
      <c r="AP269" s="222"/>
      <c r="AQ269" s="204"/>
      <c r="AR269" s="311"/>
      <c r="AS269" s="222"/>
      <c r="AT269" s="204"/>
      <c r="AU269" s="311"/>
      <c r="AV269" s="222"/>
      <c r="AW269" s="202"/>
      <c r="AX269" s="221"/>
      <c r="AZ269" s="311"/>
      <c r="BA269" s="222"/>
      <c r="BB269" s="204"/>
      <c r="BC269" s="311"/>
      <c r="BD269" s="222"/>
      <c r="BE269" s="204"/>
      <c r="BF269" s="311"/>
      <c r="BG269" s="222"/>
      <c r="BH269" s="204"/>
      <c r="BI269" s="311"/>
      <c r="BJ269" s="222"/>
      <c r="BK269" s="202"/>
      <c r="BL269" s="221"/>
      <c r="BN269" s="311"/>
      <c r="BO269" s="222"/>
      <c r="BP269" s="204"/>
      <c r="BQ269" s="311"/>
      <c r="BR269" s="222"/>
      <c r="BS269" s="204"/>
      <c r="BT269" s="311"/>
      <c r="BU269" s="222"/>
      <c r="BV269" s="204"/>
      <c r="BW269" s="311"/>
      <c r="BX269" s="222"/>
      <c r="BY269" s="202"/>
      <c r="BZ269" s="221"/>
      <c r="CB269" s="311"/>
      <c r="CC269" s="222"/>
      <c r="CD269" s="204"/>
      <c r="CE269" s="311"/>
      <c r="CF269" s="222"/>
      <c r="CG269" s="204"/>
      <c r="CH269" s="311"/>
      <c r="CI269" s="222"/>
      <c r="CJ269" s="204"/>
      <c r="CK269" s="311"/>
      <c r="CL269" s="222"/>
      <c r="CM269" s="202"/>
      <c r="CN269" s="221"/>
    </row>
    <row r="270" spans="2:92" ht="72" thickBot="1" x14ac:dyDescent="0.25">
      <c r="B270" s="1469"/>
      <c r="C270" s="1551"/>
      <c r="D270" s="1443"/>
      <c r="E270" s="1440"/>
      <c r="F270" s="1443"/>
      <c r="G270" s="315" t="str">
        <f>+'Plan de Accion apoyo transversa'!X68</f>
        <v>Informes de resultado de la investigación</v>
      </c>
      <c r="H270" s="215" t="str">
        <f>+'Plan de Accion apoyo transversa'!AK68</f>
        <v># Informes de resultado de la investigación / # eventos de incidentes, accidentes de trabajo y/o enfermedades reportados</v>
      </c>
      <c r="J270" s="303">
        <f>+'Plan de Accion apoyo transversa'!AT68</f>
        <v>0.25</v>
      </c>
      <c r="K270" s="476">
        <f>+'Plan de Accion apoyo transversa'!CE68</f>
        <v>1</v>
      </c>
      <c r="L270" s="476">
        <f>IF(K270&gt;100%,100%,K270)</f>
        <v>1</v>
      </c>
      <c r="M270" s="476">
        <f>+'Plan de Accion apoyo transversa'!AX68</f>
        <v>0.25</v>
      </c>
      <c r="N270" s="476">
        <f t="shared" si="258"/>
        <v>0.25</v>
      </c>
      <c r="O270" s="478">
        <f>+N270</f>
        <v>0.25</v>
      </c>
      <c r="P270" s="213"/>
      <c r="Q270" s="214">
        <f>+'Plan de Accion apoyo transversa'!BD68</f>
        <v>0.25</v>
      </c>
      <c r="R270" s="248">
        <f>+'Plan de Accion apoyo transversa'!CG68</f>
        <v>1</v>
      </c>
      <c r="S270" s="212">
        <f>IF(R270&gt;100%,100%,R270)</f>
        <v>1</v>
      </c>
      <c r="T270" s="304">
        <f>+'Plan de Accion apoyo transversa'!BH68</f>
        <v>0.5</v>
      </c>
      <c r="U270" s="304">
        <f t="shared" ref="U270:U271" si="278">IF(T270&gt;100%,100%,T270)</f>
        <v>0.5</v>
      </c>
      <c r="V270" s="211">
        <f>+U270</f>
        <v>0.5</v>
      </c>
      <c r="W270" s="213"/>
      <c r="X270" s="214">
        <f>+'Plan de Accion apoyo transversa'!BN68</f>
        <v>0.25</v>
      </c>
      <c r="Y270" s="248">
        <f>+'Plan de Accion apoyo transversa'!CI68</f>
        <v>1</v>
      </c>
      <c r="Z270" s="212">
        <f t="shared" si="273"/>
        <v>1</v>
      </c>
      <c r="AA270" s="217">
        <f>+'Plan de Accion apoyo transversa'!BR68</f>
        <v>0.75</v>
      </c>
      <c r="AB270" s="217">
        <f t="shared" ref="AB270:AB295" si="279">IF(AA270&gt;100%,100%,AA270)</f>
        <v>0.75</v>
      </c>
      <c r="AC270" s="216">
        <f t="shared" si="270"/>
        <v>0.75</v>
      </c>
      <c r="AD270" s="213"/>
      <c r="AE270" s="214" t="e">
        <f>+'Plan de Accion apoyo transversa'!BX68</f>
        <v>#DIV/0!</v>
      </c>
      <c r="AF270" s="248" t="s">
        <v>204</v>
      </c>
      <c r="AG270" s="212" t="s">
        <v>204</v>
      </c>
      <c r="AH270" s="248">
        <f>+'Plan de Accion apoyo transversa'!CB68</f>
        <v>0.75</v>
      </c>
      <c r="AI270" s="211">
        <f t="shared" ref="AI270:AI271" si="280">IF(AH270&gt;100%,100%,AH270)</f>
        <v>0.75</v>
      </c>
      <c r="AJ270" s="221"/>
      <c r="AL270" s="311"/>
      <c r="AM270" s="222"/>
      <c r="AN270" s="204"/>
      <c r="AO270" s="311"/>
      <c r="AP270" s="222"/>
      <c r="AQ270" s="204"/>
      <c r="AR270" s="311"/>
      <c r="AS270" s="222"/>
      <c r="AT270" s="204"/>
      <c r="AU270" s="311"/>
      <c r="AV270" s="222"/>
      <c r="AW270" s="202"/>
      <c r="AX270" s="221"/>
      <c r="AZ270" s="311"/>
      <c r="BA270" s="222"/>
      <c r="BB270" s="204"/>
      <c r="BC270" s="311"/>
      <c r="BD270" s="222"/>
      <c r="BE270" s="204"/>
      <c r="BF270" s="311"/>
      <c r="BG270" s="222"/>
      <c r="BH270" s="204"/>
      <c r="BI270" s="311"/>
      <c r="BJ270" s="222"/>
      <c r="BK270" s="202"/>
      <c r="BL270" s="221"/>
      <c r="BN270" s="311"/>
      <c r="BO270" s="222"/>
      <c r="BP270" s="204"/>
      <c r="BQ270" s="311"/>
      <c r="BR270" s="222"/>
      <c r="BS270" s="204"/>
      <c r="BT270" s="311"/>
      <c r="BU270" s="222"/>
      <c r="BV270" s="204"/>
      <c r="BW270" s="311"/>
      <c r="BX270" s="222"/>
      <c r="BY270" s="202"/>
      <c r="BZ270" s="221"/>
      <c r="CB270" s="311"/>
      <c r="CC270" s="222"/>
      <c r="CD270" s="204"/>
      <c r="CE270" s="311"/>
      <c r="CF270" s="222"/>
      <c r="CG270" s="204"/>
      <c r="CH270" s="311"/>
      <c r="CI270" s="222"/>
      <c r="CJ270" s="204"/>
      <c r="CK270" s="311"/>
      <c r="CL270" s="222"/>
      <c r="CM270" s="202"/>
      <c r="CN270" s="221"/>
    </row>
    <row r="271" spans="2:92" ht="86.25" thickBot="1" x14ac:dyDescent="0.25">
      <c r="B271" s="1469"/>
      <c r="C271" s="1551"/>
      <c r="D271" s="1443"/>
      <c r="E271" s="1440"/>
      <c r="F271" s="1443"/>
      <c r="G271" s="315" t="str">
        <f>+'Plan de Accion apoyo transversa'!X69</f>
        <v>Reuniones - Inspecciones - Acompañamiento y seguimiento en el desarrollo del Comité paritario de seguridad y Salud en el trabajo</v>
      </c>
      <c r="H271" s="215" t="str">
        <f>+'Plan de Accion apoyo transversa'!AK69</f>
        <v># de actividades realizadas</v>
      </c>
      <c r="J271" s="218">
        <f>+'Plan de Accion apoyo transversa'!AT69</f>
        <v>1</v>
      </c>
      <c r="K271" s="476">
        <f>+'Plan de Accion apoyo transversa'!CE69</f>
        <v>1</v>
      </c>
      <c r="L271" s="476">
        <f>IF(K271&gt;100%,100%,K271)</f>
        <v>1</v>
      </c>
      <c r="M271" s="476">
        <f>+'Plan de Accion apoyo transversa'!AX69</f>
        <v>0.25</v>
      </c>
      <c r="N271" s="476">
        <f t="shared" si="258"/>
        <v>0.25</v>
      </c>
      <c r="O271" s="478">
        <f>+N271</f>
        <v>0.25</v>
      </c>
      <c r="P271" s="213"/>
      <c r="Q271" s="218">
        <f>+'Plan de Accion apoyo transversa'!BD69</f>
        <v>1</v>
      </c>
      <c r="R271" s="248">
        <f>+'Plan de Accion apoyo transversa'!CG69</f>
        <v>1</v>
      </c>
      <c r="S271" s="212">
        <f>IF(R271&gt;100%,100%,R271)</f>
        <v>1</v>
      </c>
      <c r="T271" s="304">
        <f>+'Plan de Accion apoyo transversa'!BH69</f>
        <v>0.5</v>
      </c>
      <c r="U271" s="304">
        <f t="shared" si="278"/>
        <v>0.5</v>
      </c>
      <c r="V271" s="211">
        <f>+U271</f>
        <v>0.5</v>
      </c>
      <c r="W271" s="213"/>
      <c r="X271" s="218">
        <f>+'Plan de Accion apoyo transversa'!BN69</f>
        <v>1</v>
      </c>
      <c r="Y271" s="248">
        <f>+'Plan de Accion apoyo transversa'!CI69</f>
        <v>1</v>
      </c>
      <c r="Z271" s="212">
        <f t="shared" si="273"/>
        <v>1</v>
      </c>
      <c r="AA271" s="217">
        <f>+'Plan de Accion apoyo transversa'!BR69</f>
        <v>0.75</v>
      </c>
      <c r="AB271" s="217">
        <f t="shared" si="279"/>
        <v>0.75</v>
      </c>
      <c r="AC271" s="216">
        <f t="shared" si="270"/>
        <v>0.75</v>
      </c>
      <c r="AD271" s="213"/>
      <c r="AE271" s="218">
        <f>+'Plan de Accion apoyo transversa'!BX69</f>
        <v>1</v>
      </c>
      <c r="AF271" s="248">
        <f>+'Plan de Accion apoyo transversa'!CK69</f>
        <v>1</v>
      </c>
      <c r="AG271" s="212">
        <f>IF(AF271&gt;100%,100%,AF271)</f>
        <v>1</v>
      </c>
      <c r="AH271" s="248">
        <f>+'Plan de Accion apoyo transversa'!CB69</f>
        <v>1</v>
      </c>
      <c r="AI271" s="211">
        <f t="shared" si="280"/>
        <v>1</v>
      </c>
      <c r="AJ271" s="221"/>
      <c r="AL271" s="311"/>
      <c r="AM271" s="222"/>
      <c r="AN271" s="204"/>
      <c r="AO271" s="311"/>
      <c r="AP271" s="222"/>
      <c r="AQ271" s="204"/>
      <c r="AR271" s="311"/>
      <c r="AS271" s="222"/>
      <c r="AT271" s="204"/>
      <c r="AU271" s="311"/>
      <c r="AV271" s="222"/>
      <c r="AW271" s="202"/>
      <c r="AX271" s="221"/>
      <c r="AZ271" s="311"/>
      <c r="BA271" s="222"/>
      <c r="BB271" s="204"/>
      <c r="BC271" s="311"/>
      <c r="BD271" s="222"/>
      <c r="BE271" s="204"/>
      <c r="BF271" s="311"/>
      <c r="BG271" s="222"/>
      <c r="BH271" s="204"/>
      <c r="BI271" s="311"/>
      <c r="BJ271" s="222"/>
      <c r="BK271" s="202"/>
      <c r="BL271" s="221"/>
      <c r="BN271" s="311"/>
      <c r="BO271" s="222"/>
      <c r="BP271" s="204"/>
      <c r="BQ271" s="311"/>
      <c r="BR271" s="222"/>
      <c r="BS271" s="204"/>
      <c r="BT271" s="311"/>
      <c r="BU271" s="222"/>
      <c r="BV271" s="204"/>
      <c r="BW271" s="311"/>
      <c r="BX271" s="222"/>
      <c r="BY271" s="202"/>
      <c r="BZ271" s="221"/>
      <c r="CB271" s="311"/>
      <c r="CC271" s="222"/>
      <c r="CD271" s="204"/>
      <c r="CE271" s="311"/>
      <c r="CF271" s="222"/>
      <c r="CG271" s="204"/>
      <c r="CH271" s="311"/>
      <c r="CI271" s="222"/>
      <c r="CJ271" s="204"/>
      <c r="CK271" s="311"/>
      <c r="CL271" s="222"/>
      <c r="CM271" s="202"/>
      <c r="CN271" s="221"/>
    </row>
    <row r="272" spans="2:92" ht="57.75" thickBot="1" x14ac:dyDescent="0.25">
      <c r="B272" s="1469"/>
      <c r="C272" s="1551"/>
      <c r="D272" s="1443"/>
      <c r="E272" s="1440"/>
      <c r="F272" s="1443"/>
      <c r="G272" s="315" t="str">
        <f>+'Plan de Accion apoyo transversa'!X70</f>
        <v>Informe de la evaluación de cumplimiento del SG-SST de proveedores y contratistas "de personería jurídica"</v>
      </c>
      <c r="H272" s="215" t="str">
        <f>+'Plan de Accion apoyo transversa'!AK70</f>
        <v># de actividades realizadas</v>
      </c>
      <c r="J272" s="218">
        <f>+'Plan de Accion apoyo transversa'!AT70</f>
        <v>0</v>
      </c>
      <c r="K272" s="476" t="str">
        <f>+'Plan de Accion apoyo transversa'!CE70</f>
        <v>No Prog ni Ejec</v>
      </c>
      <c r="L272" s="476" t="s">
        <v>204</v>
      </c>
      <c r="M272" s="476">
        <f>+'Plan de Accion apoyo transversa'!AX70</f>
        <v>0</v>
      </c>
      <c r="N272" s="476">
        <f t="shared" si="258"/>
        <v>0</v>
      </c>
      <c r="O272" s="478" t="s">
        <v>204</v>
      </c>
      <c r="P272" s="213"/>
      <c r="Q272" s="218" t="s">
        <v>204</v>
      </c>
      <c r="R272" s="248" t="s">
        <v>180</v>
      </c>
      <c r="S272" s="212" t="s">
        <v>204</v>
      </c>
      <c r="T272" s="304" t="s">
        <v>204</v>
      </c>
      <c r="U272" s="304" t="s">
        <v>204</v>
      </c>
      <c r="V272" s="211" t="str">
        <f>+U272</f>
        <v>N.A</v>
      </c>
      <c r="W272" s="213"/>
      <c r="X272" s="218" t="s">
        <v>204</v>
      </c>
      <c r="Y272" s="248" t="str">
        <f>+'Plan de Accion apoyo transversa'!CI70</f>
        <v>No Prog ni Ejec</v>
      </c>
      <c r="Z272" s="212" t="s">
        <v>204</v>
      </c>
      <c r="AA272" s="217" t="s">
        <v>204</v>
      </c>
      <c r="AB272" s="217" t="s">
        <v>204</v>
      </c>
      <c r="AC272" s="216" t="str">
        <f t="shared" si="270"/>
        <v>N.A</v>
      </c>
      <c r="AD272" s="213"/>
      <c r="AE272" s="218" t="s">
        <v>204</v>
      </c>
      <c r="AF272" s="248" t="s">
        <v>180</v>
      </c>
      <c r="AG272" s="212" t="s">
        <v>204</v>
      </c>
      <c r="AH272" s="248" t="s">
        <v>204</v>
      </c>
      <c r="AI272" s="211" t="s">
        <v>204</v>
      </c>
      <c r="AJ272" s="221"/>
      <c r="AL272" s="311"/>
      <c r="AM272" s="222"/>
      <c r="AN272" s="204"/>
      <c r="AO272" s="311"/>
      <c r="AP272" s="222"/>
      <c r="AQ272" s="204"/>
      <c r="AR272" s="311"/>
      <c r="AS272" s="222"/>
      <c r="AT272" s="204"/>
      <c r="AU272" s="311"/>
      <c r="AV272" s="222"/>
      <c r="AW272" s="202"/>
      <c r="AX272" s="221"/>
      <c r="AZ272" s="311"/>
      <c r="BA272" s="222"/>
      <c r="BB272" s="204"/>
      <c r="BC272" s="311"/>
      <c r="BD272" s="222"/>
      <c r="BE272" s="204"/>
      <c r="BF272" s="311"/>
      <c r="BG272" s="222"/>
      <c r="BH272" s="204"/>
      <c r="BI272" s="311"/>
      <c r="BJ272" s="222"/>
      <c r="BK272" s="202"/>
      <c r="BL272" s="221"/>
      <c r="BN272" s="311"/>
      <c r="BO272" s="222"/>
      <c r="BP272" s="204"/>
      <c r="BQ272" s="311"/>
      <c r="BR272" s="222"/>
      <c r="BS272" s="204"/>
      <c r="BT272" s="311"/>
      <c r="BU272" s="222"/>
      <c r="BV272" s="204"/>
      <c r="BW272" s="311"/>
      <c r="BX272" s="222"/>
      <c r="BY272" s="202"/>
      <c r="BZ272" s="221"/>
      <c r="CB272" s="311"/>
      <c r="CC272" s="222"/>
      <c r="CD272" s="204"/>
      <c r="CE272" s="311"/>
      <c r="CF272" s="222"/>
      <c r="CG272" s="204"/>
      <c r="CH272" s="311"/>
      <c r="CI272" s="222"/>
      <c r="CJ272" s="204"/>
      <c r="CK272" s="311"/>
      <c r="CL272" s="222"/>
      <c r="CM272" s="202"/>
      <c r="CN272" s="221"/>
    </row>
    <row r="273" spans="2:92" ht="29.25" thickBot="1" x14ac:dyDescent="0.25">
      <c r="B273" s="1469"/>
      <c r="C273" s="1551"/>
      <c r="D273" s="1443"/>
      <c r="E273" s="1440"/>
      <c r="F273" s="1443"/>
      <c r="G273" s="315" t="str">
        <f>+'Plan de Accion apoyo transversa'!X71</f>
        <v>Informe de la auditoria interna del SG-SST</v>
      </c>
      <c r="H273" s="215" t="str">
        <f>+'Plan de Accion apoyo transversa'!AK71</f>
        <v># de actividades realizadas</v>
      </c>
      <c r="J273" s="218">
        <f>+'Plan de Accion apoyo transversa'!AT71</f>
        <v>0</v>
      </c>
      <c r="K273" s="476" t="str">
        <f>+'Plan de Accion apoyo transversa'!CE71</f>
        <v>No Prog ni Ejec</v>
      </c>
      <c r="L273" s="476" t="s">
        <v>204</v>
      </c>
      <c r="M273" s="476">
        <f>+'Plan de Accion apoyo transversa'!AX71</f>
        <v>0</v>
      </c>
      <c r="N273" s="476">
        <f t="shared" si="258"/>
        <v>0</v>
      </c>
      <c r="O273" s="478" t="s">
        <v>204</v>
      </c>
      <c r="P273" s="213"/>
      <c r="Q273" s="218" t="s">
        <v>204</v>
      </c>
      <c r="R273" s="248" t="str">
        <f>+'Plan de Accion apoyo transversa'!CG71</f>
        <v>No Prog ni Ejec</v>
      </c>
      <c r="S273" s="212" t="s">
        <v>204</v>
      </c>
      <c r="T273" s="304" t="s">
        <v>204</v>
      </c>
      <c r="U273" s="304" t="s">
        <v>204</v>
      </c>
      <c r="V273" s="211" t="s">
        <v>204</v>
      </c>
      <c r="W273" s="213"/>
      <c r="X273" s="218" t="s">
        <v>204</v>
      </c>
      <c r="Y273" s="248" t="str">
        <f>+'Plan de Accion apoyo transversa'!CI71</f>
        <v>No Prog ni Ejec</v>
      </c>
      <c r="Z273" s="212" t="s">
        <v>204</v>
      </c>
      <c r="AA273" s="217" t="s">
        <v>204</v>
      </c>
      <c r="AB273" s="217" t="s">
        <v>204</v>
      </c>
      <c r="AC273" s="216" t="s">
        <v>204</v>
      </c>
      <c r="AD273" s="213"/>
      <c r="AE273" s="218" t="s">
        <v>204</v>
      </c>
      <c r="AF273" s="248" t="s">
        <v>180</v>
      </c>
      <c r="AG273" s="212" t="s">
        <v>204</v>
      </c>
      <c r="AH273" s="248" t="s">
        <v>204</v>
      </c>
      <c r="AI273" s="211" t="s">
        <v>204</v>
      </c>
      <c r="AJ273" s="221"/>
      <c r="AL273" s="311"/>
      <c r="AM273" s="222"/>
      <c r="AN273" s="204"/>
      <c r="AO273" s="311"/>
      <c r="AP273" s="222"/>
      <c r="AQ273" s="204"/>
      <c r="AR273" s="311"/>
      <c r="AS273" s="222"/>
      <c r="AT273" s="204"/>
      <c r="AU273" s="311"/>
      <c r="AV273" s="222"/>
      <c r="AW273" s="202"/>
      <c r="AX273" s="221"/>
      <c r="AZ273" s="311"/>
      <c r="BA273" s="222"/>
      <c r="BB273" s="204"/>
      <c r="BC273" s="311"/>
      <c r="BD273" s="222"/>
      <c r="BE273" s="204"/>
      <c r="BF273" s="311"/>
      <c r="BG273" s="222"/>
      <c r="BH273" s="204"/>
      <c r="BI273" s="311"/>
      <c r="BJ273" s="222"/>
      <c r="BK273" s="202"/>
      <c r="BL273" s="221"/>
      <c r="BN273" s="311"/>
      <c r="BO273" s="222"/>
      <c r="BP273" s="204"/>
      <c r="BQ273" s="311"/>
      <c r="BR273" s="222"/>
      <c r="BS273" s="204"/>
      <c r="BT273" s="311"/>
      <c r="BU273" s="222"/>
      <c r="BV273" s="204"/>
      <c r="BW273" s="311"/>
      <c r="BX273" s="222"/>
      <c r="BY273" s="202"/>
      <c r="BZ273" s="221"/>
      <c r="CB273" s="311"/>
      <c r="CC273" s="222"/>
      <c r="CD273" s="204"/>
      <c r="CE273" s="311"/>
      <c r="CF273" s="222"/>
      <c r="CG273" s="204"/>
      <c r="CH273" s="311"/>
      <c r="CI273" s="222"/>
      <c r="CJ273" s="204"/>
      <c r="CK273" s="311"/>
      <c r="CL273" s="222"/>
      <c r="CM273" s="202"/>
      <c r="CN273" s="221"/>
    </row>
    <row r="274" spans="2:92" ht="57.75" thickBot="1" x14ac:dyDescent="0.25">
      <c r="B274" s="1469"/>
      <c r="C274" s="1551"/>
      <c r="D274" s="1443"/>
      <c r="E274" s="1440"/>
      <c r="F274" s="1443"/>
      <c r="G274" s="315" t="str">
        <f>+'Plan de Accion apoyo transversa'!X72</f>
        <v>Plan de acción de los hallazgos generados por auditoria interna o entes de control.</v>
      </c>
      <c r="H274" s="215" t="str">
        <f>+'Plan de Accion apoyo transversa'!AK72</f>
        <v># de actividades realizadas</v>
      </c>
      <c r="J274" s="218">
        <f>+'Plan de Accion apoyo transversa'!AT72</f>
        <v>0</v>
      </c>
      <c r="K274" s="476" t="str">
        <f>+'Plan de Accion apoyo transversa'!CE72</f>
        <v>No Prog ni Ejec</v>
      </c>
      <c r="L274" s="476" t="s">
        <v>204</v>
      </c>
      <c r="M274" s="476">
        <f>+'Plan de Accion apoyo transversa'!AX72</f>
        <v>0</v>
      </c>
      <c r="N274" s="476">
        <f t="shared" si="258"/>
        <v>0</v>
      </c>
      <c r="O274" s="478" t="s">
        <v>204</v>
      </c>
      <c r="P274" s="213"/>
      <c r="Q274" s="218" t="s">
        <v>204</v>
      </c>
      <c r="R274" s="248" t="str">
        <f>+'Plan de Accion apoyo transversa'!CG72</f>
        <v>No Prog ni Ejec</v>
      </c>
      <c r="S274" s="212" t="s">
        <v>204</v>
      </c>
      <c r="T274" s="304" t="s">
        <v>204</v>
      </c>
      <c r="U274" s="304" t="s">
        <v>204</v>
      </c>
      <c r="V274" s="211" t="s">
        <v>204</v>
      </c>
      <c r="W274" s="213"/>
      <c r="X274" s="218" t="s">
        <v>204</v>
      </c>
      <c r="Y274" s="248" t="str">
        <f>+'Plan de Accion apoyo transversa'!CI72</f>
        <v>No Prog ni Ejec</v>
      </c>
      <c r="Z274" s="212" t="s">
        <v>204</v>
      </c>
      <c r="AA274" s="217" t="s">
        <v>204</v>
      </c>
      <c r="AB274" s="217" t="s">
        <v>204</v>
      </c>
      <c r="AC274" s="216" t="s">
        <v>204</v>
      </c>
      <c r="AD274" s="213"/>
      <c r="AE274" s="218" t="s">
        <v>204</v>
      </c>
      <c r="AF274" s="248" t="s">
        <v>180</v>
      </c>
      <c r="AG274" s="212" t="s">
        <v>204</v>
      </c>
      <c r="AH274" s="248" t="s">
        <v>204</v>
      </c>
      <c r="AI274" s="211" t="s">
        <v>204</v>
      </c>
      <c r="AJ274" s="221"/>
      <c r="AL274" s="311"/>
      <c r="AM274" s="222"/>
      <c r="AN274" s="204"/>
      <c r="AO274" s="311"/>
      <c r="AP274" s="222"/>
      <c r="AQ274" s="204"/>
      <c r="AR274" s="311"/>
      <c r="AS274" s="222"/>
      <c r="AT274" s="204"/>
      <c r="AU274" s="311"/>
      <c r="AV274" s="222"/>
      <c r="AW274" s="202"/>
      <c r="AX274" s="221"/>
      <c r="AZ274" s="311"/>
      <c r="BA274" s="222"/>
      <c r="BB274" s="204"/>
      <c r="BC274" s="311"/>
      <c r="BD274" s="222"/>
      <c r="BE274" s="204"/>
      <c r="BF274" s="311"/>
      <c r="BG274" s="222"/>
      <c r="BH274" s="204"/>
      <c r="BI274" s="311"/>
      <c r="BJ274" s="222"/>
      <c r="BK274" s="202"/>
      <c r="BL274" s="221"/>
      <c r="BN274" s="311"/>
      <c r="BO274" s="222"/>
      <c r="BP274" s="204"/>
      <c r="BQ274" s="311"/>
      <c r="BR274" s="222"/>
      <c r="BS274" s="204"/>
      <c r="BT274" s="311"/>
      <c r="BU274" s="222"/>
      <c r="BV274" s="204"/>
      <c r="BW274" s="311"/>
      <c r="BX274" s="222"/>
      <c r="BY274" s="202"/>
      <c r="BZ274" s="221"/>
      <c r="CB274" s="311"/>
      <c r="CC274" s="222"/>
      <c r="CD274" s="204"/>
      <c r="CE274" s="311"/>
      <c r="CF274" s="222"/>
      <c r="CG274" s="204"/>
      <c r="CH274" s="311"/>
      <c r="CI274" s="222"/>
      <c r="CJ274" s="204"/>
      <c r="CK274" s="311"/>
      <c r="CL274" s="222"/>
      <c r="CM274" s="202"/>
      <c r="CN274" s="221"/>
    </row>
    <row r="275" spans="2:92" ht="15.75" thickBot="1" x14ac:dyDescent="0.25">
      <c r="B275" s="1469"/>
      <c r="C275" s="1551"/>
      <c r="D275" s="1443"/>
      <c r="E275" s="1440"/>
      <c r="F275" s="1443"/>
      <c r="G275" s="315" t="str">
        <f>+'Plan de Accion apoyo transversa'!X73</f>
        <v>Profesiograma elaborado</v>
      </c>
      <c r="H275" s="215" t="str">
        <f>+'Plan de Accion apoyo transversa'!AK73</f>
        <v># Profesiogramas elaborados</v>
      </c>
      <c r="J275" s="218">
        <f>+'Plan de Accion apoyo transversa'!AT73</f>
        <v>0</v>
      </c>
      <c r="K275" s="476" t="str">
        <f>+'Plan de Accion apoyo transversa'!CE73</f>
        <v>No Prog ni Ejec</v>
      </c>
      <c r="L275" s="476" t="s">
        <v>204</v>
      </c>
      <c r="M275" s="476">
        <f>+'Plan de Accion apoyo transversa'!AX73</f>
        <v>0</v>
      </c>
      <c r="N275" s="476">
        <f t="shared" si="258"/>
        <v>0</v>
      </c>
      <c r="O275" s="478" t="s">
        <v>204</v>
      </c>
      <c r="P275" s="213"/>
      <c r="Q275" s="218" t="s">
        <v>204</v>
      </c>
      <c r="R275" s="248" t="str">
        <f>+'Plan de Accion apoyo transversa'!CG73</f>
        <v>No Prog ni Ejec</v>
      </c>
      <c r="S275" s="212" t="s">
        <v>204</v>
      </c>
      <c r="T275" s="304" t="s">
        <v>204</v>
      </c>
      <c r="U275" s="304" t="s">
        <v>204</v>
      </c>
      <c r="V275" s="211" t="s">
        <v>204</v>
      </c>
      <c r="W275" s="213"/>
      <c r="X275" s="218" t="s">
        <v>204</v>
      </c>
      <c r="Y275" s="248" t="str">
        <f>+'Plan de Accion apoyo transversa'!CI73</f>
        <v>No Prog ni Ejec</v>
      </c>
      <c r="Z275" s="212" t="s">
        <v>204</v>
      </c>
      <c r="AA275" s="217" t="s">
        <v>204</v>
      </c>
      <c r="AB275" s="217" t="s">
        <v>204</v>
      </c>
      <c r="AC275" s="216" t="s">
        <v>204</v>
      </c>
      <c r="AD275" s="213"/>
      <c r="AE275" s="218" t="s">
        <v>204</v>
      </c>
      <c r="AF275" s="248" t="s">
        <v>180</v>
      </c>
      <c r="AG275" s="212" t="s">
        <v>204</v>
      </c>
      <c r="AH275" s="248" t="s">
        <v>204</v>
      </c>
      <c r="AI275" s="211" t="s">
        <v>204</v>
      </c>
      <c r="AJ275" s="221"/>
      <c r="AL275" s="311"/>
      <c r="AM275" s="222"/>
      <c r="AN275" s="204"/>
      <c r="AO275" s="311"/>
      <c r="AP275" s="222"/>
      <c r="AQ275" s="204"/>
      <c r="AR275" s="311"/>
      <c r="AS275" s="222"/>
      <c r="AT275" s="204"/>
      <c r="AU275" s="311"/>
      <c r="AV275" s="222"/>
      <c r="AW275" s="202"/>
      <c r="AX275" s="221"/>
      <c r="AZ275" s="311"/>
      <c r="BA275" s="222"/>
      <c r="BB275" s="204"/>
      <c r="BC275" s="311"/>
      <c r="BD275" s="222"/>
      <c r="BE275" s="204"/>
      <c r="BF275" s="311"/>
      <c r="BG275" s="222"/>
      <c r="BH275" s="204"/>
      <c r="BI275" s="311"/>
      <c r="BJ275" s="222"/>
      <c r="BK275" s="202"/>
      <c r="BL275" s="221"/>
      <c r="BN275" s="311"/>
      <c r="BO275" s="222"/>
      <c r="BP275" s="204"/>
      <c r="BQ275" s="311"/>
      <c r="BR275" s="222"/>
      <c r="BS275" s="204"/>
      <c r="BT275" s="311"/>
      <c r="BU275" s="222"/>
      <c r="BV275" s="204"/>
      <c r="BW275" s="311"/>
      <c r="BX275" s="222"/>
      <c r="BY275" s="202"/>
      <c r="BZ275" s="221"/>
      <c r="CB275" s="311"/>
      <c r="CC275" s="222"/>
      <c r="CD275" s="204"/>
      <c r="CE275" s="311"/>
      <c r="CF275" s="222"/>
      <c r="CG275" s="204"/>
      <c r="CH275" s="311"/>
      <c r="CI275" s="222"/>
      <c r="CJ275" s="204"/>
      <c r="CK275" s="311"/>
      <c r="CL275" s="222"/>
      <c r="CM275" s="202"/>
      <c r="CN275" s="221"/>
    </row>
    <row r="276" spans="2:92" ht="83.25" customHeight="1" thickBot="1" x14ac:dyDescent="0.25">
      <c r="B276" s="1469"/>
      <c r="C276" s="1551"/>
      <c r="D276" s="1443"/>
      <c r="E276" s="1440"/>
      <c r="F276" s="1444"/>
      <c r="G276" s="315" t="str">
        <f>+'Plan de Accion apoyo transversa'!X74</f>
        <v>Documento de estudios ambientales elaborado
Documento de estudios ergonómicos en salud ocupacional elaborado</v>
      </c>
      <c r="H276" s="215" t="str">
        <f>+'Plan de Accion apoyo transversa'!AK74</f>
        <v># Estudios ambientales y ergonómicos realizados</v>
      </c>
      <c r="J276" s="218">
        <f>+'Plan de Accion apoyo transversa'!AT74</f>
        <v>0</v>
      </c>
      <c r="K276" s="476" t="str">
        <f>+'Plan de Accion apoyo transversa'!CE74</f>
        <v>No Prog ni Ejec</v>
      </c>
      <c r="L276" s="476" t="s">
        <v>204</v>
      </c>
      <c r="M276" s="476">
        <f>+'Plan de Accion apoyo transversa'!AX74</f>
        <v>0</v>
      </c>
      <c r="N276" s="476">
        <f t="shared" si="258"/>
        <v>0</v>
      </c>
      <c r="O276" s="478" t="s">
        <v>204</v>
      </c>
      <c r="P276" s="213"/>
      <c r="Q276" s="218">
        <f>+'Plan de Accion apoyo transversa'!BD74</f>
        <v>0</v>
      </c>
      <c r="R276" s="248" t="str">
        <f>+'Plan de Accion apoyo transversa'!CG74</f>
        <v>No Prog ni Ejec</v>
      </c>
      <c r="S276" s="212" t="s">
        <v>204</v>
      </c>
      <c r="T276" s="304">
        <f>+'Plan de Accion apoyo transversa'!BH74</f>
        <v>0</v>
      </c>
      <c r="U276" s="304">
        <f t="shared" ref="U276:U307" si="281">IF(T276&gt;100%,100%,T276)</f>
        <v>0</v>
      </c>
      <c r="V276" s="211" t="s">
        <v>204</v>
      </c>
      <c r="W276" s="213"/>
      <c r="X276" s="218">
        <f>+'Plan de Accion apoyo transversa'!BN74</f>
        <v>0</v>
      </c>
      <c r="Y276" s="248">
        <f>+'Plan de Accion apoyo transversa'!CI74</f>
        <v>0</v>
      </c>
      <c r="Z276" s="212">
        <f>IF(Y276&gt;100%,100%,Y276)</f>
        <v>0</v>
      </c>
      <c r="AA276" s="217">
        <f>+'Plan de Accion apoyo transversa'!BR74</f>
        <v>0</v>
      </c>
      <c r="AB276" s="217">
        <f t="shared" si="279"/>
        <v>0</v>
      </c>
      <c r="AC276" s="216">
        <f t="shared" ref="AC276:AC285" si="282">+AB276</f>
        <v>0</v>
      </c>
      <c r="AD276" s="213"/>
      <c r="AE276" s="218">
        <f>+'Plan de Accion apoyo transversa'!BX74</f>
        <v>0</v>
      </c>
      <c r="AF276" s="248" t="str">
        <f>+'Plan de Accion apoyo transversa'!CK74</f>
        <v>No Prog ni Ejec</v>
      </c>
      <c r="AG276" s="212" t="s">
        <v>204</v>
      </c>
      <c r="AH276" s="248">
        <f>+'Plan de Accion apoyo transversa'!CB74</f>
        <v>0</v>
      </c>
      <c r="AI276" s="211">
        <f t="shared" ref="AI276:AI307" si="283">IF(AH276&gt;100%,100%,AH276)</f>
        <v>0</v>
      </c>
      <c r="AJ276" s="221"/>
      <c r="AL276" s="311"/>
      <c r="AM276" s="222"/>
      <c r="AN276" s="204"/>
      <c r="AO276" s="311"/>
      <c r="AP276" s="222"/>
      <c r="AQ276" s="204"/>
      <c r="AR276" s="311"/>
      <c r="AS276" s="222"/>
      <c r="AT276" s="204"/>
      <c r="AU276" s="311"/>
      <c r="AV276" s="222"/>
      <c r="AW276" s="202"/>
      <c r="AX276" s="221"/>
      <c r="AZ276" s="311"/>
      <c r="BA276" s="222"/>
      <c r="BB276" s="204"/>
      <c r="BC276" s="311"/>
      <c r="BD276" s="222"/>
      <c r="BE276" s="204"/>
      <c r="BF276" s="311"/>
      <c r="BG276" s="222"/>
      <c r="BH276" s="204"/>
      <c r="BI276" s="311"/>
      <c r="BJ276" s="222"/>
      <c r="BK276" s="202"/>
      <c r="BL276" s="221"/>
      <c r="BN276" s="311"/>
      <c r="BO276" s="222"/>
      <c r="BP276" s="204"/>
      <c r="BQ276" s="311"/>
      <c r="BR276" s="222"/>
      <c r="BS276" s="204"/>
      <c r="BT276" s="311"/>
      <c r="BU276" s="222"/>
      <c r="BV276" s="204"/>
      <c r="BW276" s="311"/>
      <c r="BX276" s="222"/>
      <c r="BY276" s="202"/>
      <c r="BZ276" s="221"/>
      <c r="CB276" s="311"/>
      <c r="CC276" s="222"/>
      <c r="CD276" s="204"/>
      <c r="CE276" s="311"/>
      <c r="CF276" s="222"/>
      <c r="CG276" s="204"/>
      <c r="CH276" s="311"/>
      <c r="CI276" s="222"/>
      <c r="CJ276" s="204"/>
      <c r="CK276" s="311"/>
      <c r="CL276" s="222"/>
      <c r="CM276" s="202"/>
      <c r="CN276" s="221"/>
    </row>
    <row r="277" spans="2:92" ht="29.25" thickBot="1" x14ac:dyDescent="0.25">
      <c r="B277" s="1469"/>
      <c r="C277" s="1551"/>
      <c r="D277" s="1443"/>
      <c r="E277" s="1440"/>
      <c r="F277" s="1442" t="s">
        <v>842</v>
      </c>
      <c r="G277" s="315" t="str">
        <f>+'Plan de Accion apoyo transversa'!X118</f>
        <v>Manual de funciones actualizado</v>
      </c>
      <c r="H277" s="215" t="str">
        <f>+'Plan de Accion apoyo transversa'!AK118</f>
        <v># Manual de funciones actualizados</v>
      </c>
      <c r="J277" s="218">
        <f>+'Plan de Accion apoyo transversa'!AT118</f>
        <v>0</v>
      </c>
      <c r="K277" s="476" t="str">
        <f>+'Plan de Accion apoyo transversa'!CE118</f>
        <v>No Prog ni Ejec</v>
      </c>
      <c r="L277" s="476" t="s">
        <v>204</v>
      </c>
      <c r="M277" s="476">
        <f>+'Plan de Accion apoyo transversa'!AX118</f>
        <v>0</v>
      </c>
      <c r="N277" s="476">
        <f t="shared" si="258"/>
        <v>0</v>
      </c>
      <c r="O277" s="478" t="s">
        <v>204</v>
      </c>
      <c r="P277" s="213"/>
      <c r="Q277" s="218">
        <f>+'Plan de Accion apoyo transversa'!BD118</f>
        <v>0</v>
      </c>
      <c r="R277" s="248" t="str">
        <f>+'Plan de Accion apoyo transversa'!CG118</f>
        <v>No Prog ni Ejec</v>
      </c>
      <c r="S277" s="212" t="s">
        <v>204</v>
      </c>
      <c r="T277" s="304">
        <f>+'Plan de Accion apoyo transversa'!BH118</f>
        <v>0</v>
      </c>
      <c r="U277" s="304">
        <f t="shared" si="281"/>
        <v>0</v>
      </c>
      <c r="V277" s="211" t="s">
        <v>204</v>
      </c>
      <c r="W277" s="213"/>
      <c r="X277" s="218">
        <f>+'Plan de Accion apoyo transversa'!BN118</f>
        <v>1</v>
      </c>
      <c r="Y277" s="248">
        <f>+'Plan de Accion apoyo transversa'!CI118</f>
        <v>1</v>
      </c>
      <c r="Z277" s="212">
        <f>IF(Y277&gt;100%,100%,Y277)</f>
        <v>1</v>
      </c>
      <c r="AA277" s="217">
        <f>+'Plan de Accion apoyo transversa'!BR118</f>
        <v>1</v>
      </c>
      <c r="AB277" s="217">
        <f t="shared" si="279"/>
        <v>1</v>
      </c>
      <c r="AC277" s="216">
        <f t="shared" si="282"/>
        <v>1</v>
      </c>
      <c r="AD277" s="213"/>
      <c r="AE277" s="218">
        <f>+'Plan de Accion apoyo transversa'!BX118</f>
        <v>0</v>
      </c>
      <c r="AF277" s="248" t="str">
        <f>+'Plan de Accion apoyo transversa'!CK118</f>
        <v>No Prog ni Ejec</v>
      </c>
      <c r="AG277" s="212" t="s">
        <v>204</v>
      </c>
      <c r="AH277" s="248">
        <f>+'Plan de Accion apoyo transversa'!CB118</f>
        <v>1</v>
      </c>
      <c r="AI277" s="211">
        <f t="shared" si="283"/>
        <v>1</v>
      </c>
      <c r="AJ277" s="221"/>
      <c r="AL277" s="311"/>
      <c r="AM277" s="222"/>
      <c r="AN277" s="204"/>
      <c r="AO277" s="311"/>
      <c r="AP277" s="222"/>
      <c r="AQ277" s="204"/>
      <c r="AR277" s="311"/>
      <c r="AS277" s="222"/>
      <c r="AT277" s="204"/>
      <c r="AU277" s="311"/>
      <c r="AV277" s="222"/>
      <c r="AW277" s="202"/>
      <c r="AX277" s="221"/>
      <c r="AZ277" s="311"/>
      <c r="BA277" s="222"/>
      <c r="BB277" s="204"/>
      <c r="BC277" s="311"/>
      <c r="BD277" s="222"/>
      <c r="BE277" s="204"/>
      <c r="BF277" s="311"/>
      <c r="BG277" s="222"/>
      <c r="BH277" s="204"/>
      <c r="BI277" s="311"/>
      <c r="BJ277" s="222"/>
      <c r="BK277" s="202"/>
      <c r="BL277" s="221"/>
      <c r="BN277" s="311"/>
      <c r="BO277" s="222"/>
      <c r="BP277" s="204"/>
      <c r="BQ277" s="311"/>
      <c r="BR277" s="222"/>
      <c r="BS277" s="204"/>
      <c r="BT277" s="311"/>
      <c r="BU277" s="222"/>
      <c r="BV277" s="204"/>
      <c r="BW277" s="311"/>
      <c r="BX277" s="222"/>
      <c r="BY277" s="202"/>
      <c r="BZ277" s="221"/>
      <c r="CB277" s="311"/>
      <c r="CC277" s="222"/>
      <c r="CD277" s="204"/>
      <c r="CE277" s="311"/>
      <c r="CF277" s="222"/>
      <c r="CG277" s="204"/>
      <c r="CH277" s="311"/>
      <c r="CI277" s="222"/>
      <c r="CJ277" s="204"/>
      <c r="CK277" s="311"/>
      <c r="CL277" s="222"/>
      <c r="CM277" s="202"/>
      <c r="CN277" s="221"/>
    </row>
    <row r="278" spans="2:92" ht="29.25" thickBot="1" x14ac:dyDescent="0.25">
      <c r="B278" s="1469"/>
      <c r="C278" s="1551"/>
      <c r="D278" s="1443"/>
      <c r="E278" s="1440"/>
      <c r="F278" s="1443"/>
      <c r="G278" s="315" t="str">
        <f>+'Plan de Accion apoyo transversa'!X119</f>
        <v xml:space="preserve">Solicitud a la CNSC sobre la apertura de la OPEC </v>
      </c>
      <c r="H278" s="215" t="str">
        <f>+'Plan de Accion apoyo transversa'!AK119</f>
        <v># Solicitud a la CNSC</v>
      </c>
      <c r="J278" s="218">
        <f>+'Plan de Accion apoyo transversa'!AT119</f>
        <v>0</v>
      </c>
      <c r="K278" s="476" t="str">
        <f>+'Plan de Accion apoyo transversa'!CE119</f>
        <v>No Prog ni Ejec</v>
      </c>
      <c r="L278" s="476" t="s">
        <v>204</v>
      </c>
      <c r="M278" s="476">
        <f>+'Plan de Accion apoyo transversa'!AX119</f>
        <v>0</v>
      </c>
      <c r="N278" s="476">
        <f t="shared" si="258"/>
        <v>0</v>
      </c>
      <c r="O278" s="478" t="s">
        <v>204</v>
      </c>
      <c r="P278" s="213"/>
      <c r="Q278" s="218">
        <f>+'Plan de Accion apoyo transversa'!BD119</f>
        <v>0</v>
      </c>
      <c r="R278" s="248" t="str">
        <f>+'Plan de Accion apoyo transversa'!CG119</f>
        <v>No Prog ni Ejec</v>
      </c>
      <c r="S278" s="212" t="s">
        <v>204</v>
      </c>
      <c r="T278" s="304">
        <f>+'Plan de Accion apoyo transversa'!BH119</f>
        <v>0</v>
      </c>
      <c r="U278" s="304">
        <f t="shared" si="281"/>
        <v>0</v>
      </c>
      <c r="V278" s="211" t="s">
        <v>204</v>
      </c>
      <c r="W278" s="213"/>
      <c r="X278" s="218">
        <f>+'Plan de Accion apoyo transversa'!BN119</f>
        <v>0</v>
      </c>
      <c r="Y278" s="248">
        <f>+'Plan de Accion apoyo transversa'!CI119</f>
        <v>0</v>
      </c>
      <c r="Z278" s="212">
        <f>IF(Y278&gt;100%,100%,Y278)</f>
        <v>0</v>
      </c>
      <c r="AA278" s="217">
        <f>+'Plan de Accion apoyo transversa'!BR119</f>
        <v>0</v>
      </c>
      <c r="AB278" s="217">
        <f t="shared" si="279"/>
        <v>0</v>
      </c>
      <c r="AC278" s="216">
        <f t="shared" si="282"/>
        <v>0</v>
      </c>
      <c r="AD278" s="213"/>
      <c r="AE278" s="218">
        <f>+'Plan de Accion apoyo transversa'!BX119</f>
        <v>0</v>
      </c>
      <c r="AF278" s="248" t="str">
        <f>+'Plan de Accion apoyo transversa'!CK119</f>
        <v>No Prog ni Ejec</v>
      </c>
      <c r="AG278" s="212" t="s">
        <v>204</v>
      </c>
      <c r="AH278" s="248">
        <f>+'Plan de Accion apoyo transversa'!CB119</f>
        <v>0</v>
      </c>
      <c r="AI278" s="211">
        <f t="shared" si="283"/>
        <v>0</v>
      </c>
      <c r="AJ278" s="221"/>
      <c r="AL278" s="311"/>
      <c r="AM278" s="222"/>
      <c r="AN278" s="204"/>
      <c r="AO278" s="311"/>
      <c r="AP278" s="222"/>
      <c r="AQ278" s="204"/>
      <c r="AR278" s="311"/>
      <c r="AS278" s="222"/>
      <c r="AT278" s="204"/>
      <c r="AU278" s="311"/>
      <c r="AV278" s="222"/>
      <c r="AW278" s="202"/>
      <c r="AX278" s="221"/>
      <c r="AZ278" s="311"/>
      <c r="BA278" s="222"/>
      <c r="BB278" s="204"/>
      <c r="BC278" s="311"/>
      <c r="BD278" s="222"/>
      <c r="BE278" s="204"/>
      <c r="BF278" s="311"/>
      <c r="BG278" s="222"/>
      <c r="BH278" s="204"/>
      <c r="BI278" s="311"/>
      <c r="BJ278" s="222"/>
      <c r="BK278" s="202"/>
      <c r="BL278" s="221"/>
      <c r="BN278" s="311"/>
      <c r="BO278" s="222"/>
      <c r="BP278" s="204"/>
      <c r="BQ278" s="311"/>
      <c r="BR278" s="222"/>
      <c r="BS278" s="204"/>
      <c r="BT278" s="311"/>
      <c r="BU278" s="222"/>
      <c r="BV278" s="204"/>
      <c r="BW278" s="311"/>
      <c r="BX278" s="222"/>
      <c r="BY278" s="202"/>
      <c r="BZ278" s="221"/>
      <c r="CB278" s="311"/>
      <c r="CC278" s="222"/>
      <c r="CD278" s="204"/>
      <c r="CE278" s="311"/>
      <c r="CF278" s="222"/>
      <c r="CG278" s="204"/>
      <c r="CH278" s="311"/>
      <c r="CI278" s="222"/>
      <c r="CJ278" s="204"/>
      <c r="CK278" s="311"/>
      <c r="CL278" s="222"/>
      <c r="CM278" s="202"/>
      <c r="CN278" s="221"/>
    </row>
    <row r="279" spans="2:92" ht="29.25" thickBot="1" x14ac:dyDescent="0.25">
      <c r="B279" s="1469"/>
      <c r="C279" s="1551"/>
      <c r="D279" s="1443"/>
      <c r="E279" s="1440"/>
      <c r="F279" s="1444"/>
      <c r="G279" s="315" t="str">
        <f>+'Plan de Accion apoyo transversa'!X120</f>
        <v>Informe de la OPEC actualizada</v>
      </c>
      <c r="H279" s="215" t="str">
        <f>+'Plan de Accion apoyo transversa'!AK120</f>
        <v># Informe de Actualización</v>
      </c>
      <c r="J279" s="218">
        <f>+'Plan de Accion apoyo transversa'!AT120</f>
        <v>0</v>
      </c>
      <c r="K279" s="476" t="str">
        <f>+'Plan de Accion apoyo transversa'!CE120</f>
        <v>No Prog ni Ejec</v>
      </c>
      <c r="L279" s="476" t="s">
        <v>204</v>
      </c>
      <c r="M279" s="476">
        <f>+'Plan de Accion apoyo transversa'!AX120</f>
        <v>0</v>
      </c>
      <c r="N279" s="476">
        <f t="shared" si="258"/>
        <v>0</v>
      </c>
      <c r="O279" s="478" t="s">
        <v>204</v>
      </c>
      <c r="P279" s="213"/>
      <c r="Q279" s="218">
        <f>+'Plan de Accion apoyo transversa'!BD120</f>
        <v>0</v>
      </c>
      <c r="R279" s="248" t="str">
        <f>+'Plan de Accion apoyo transversa'!CG120</f>
        <v>No Prog ni Ejec</v>
      </c>
      <c r="S279" s="212" t="s">
        <v>204</v>
      </c>
      <c r="T279" s="304">
        <f>+'Plan de Accion apoyo transversa'!BH120</f>
        <v>0</v>
      </c>
      <c r="U279" s="304">
        <f t="shared" si="281"/>
        <v>0</v>
      </c>
      <c r="V279" s="211" t="s">
        <v>204</v>
      </c>
      <c r="W279" s="213"/>
      <c r="X279" s="218">
        <f>+'Plan de Accion apoyo transversa'!BN120</f>
        <v>0</v>
      </c>
      <c r="Y279" s="248">
        <f>+'Plan de Accion apoyo transversa'!CI120</f>
        <v>0</v>
      </c>
      <c r="Z279" s="212">
        <f>IF(Y279&gt;100%,100%,Y279)</f>
        <v>0</v>
      </c>
      <c r="AA279" s="217">
        <f>+'Plan de Accion apoyo transversa'!BR120</f>
        <v>0</v>
      </c>
      <c r="AB279" s="217">
        <f t="shared" si="279"/>
        <v>0</v>
      </c>
      <c r="AC279" s="216">
        <f t="shared" si="282"/>
        <v>0</v>
      </c>
      <c r="AD279" s="213"/>
      <c r="AE279" s="218">
        <f>+'Plan de Accion apoyo transversa'!BX120</f>
        <v>0</v>
      </c>
      <c r="AF279" s="248" t="str">
        <f>+'Plan de Accion apoyo transversa'!CK120</f>
        <v>No Prog ni Ejec</v>
      </c>
      <c r="AG279" s="212" t="s">
        <v>204</v>
      </c>
      <c r="AH279" s="248">
        <f>+'Plan de Accion apoyo transversa'!CB120</f>
        <v>0</v>
      </c>
      <c r="AI279" s="211">
        <f t="shared" si="283"/>
        <v>0</v>
      </c>
      <c r="AJ279" s="221"/>
      <c r="AL279" s="311"/>
      <c r="AM279" s="222"/>
      <c r="AN279" s="204"/>
      <c r="AO279" s="311"/>
      <c r="AP279" s="222"/>
      <c r="AQ279" s="204"/>
      <c r="AR279" s="311"/>
      <c r="AS279" s="222"/>
      <c r="AT279" s="204"/>
      <c r="AU279" s="311"/>
      <c r="AV279" s="222"/>
      <c r="AW279" s="202"/>
      <c r="AX279" s="221"/>
      <c r="AZ279" s="311"/>
      <c r="BA279" s="222"/>
      <c r="BB279" s="204"/>
      <c r="BC279" s="311"/>
      <c r="BD279" s="222"/>
      <c r="BE279" s="204"/>
      <c r="BF279" s="311"/>
      <c r="BG279" s="222"/>
      <c r="BH279" s="204"/>
      <c r="BI279" s="311"/>
      <c r="BJ279" s="222"/>
      <c r="BK279" s="202"/>
      <c r="BL279" s="221"/>
      <c r="BN279" s="311"/>
      <c r="BO279" s="222"/>
      <c r="BP279" s="204"/>
      <c r="BQ279" s="311"/>
      <c r="BR279" s="222"/>
      <c r="BS279" s="204"/>
      <c r="BT279" s="311"/>
      <c r="BU279" s="222"/>
      <c r="BV279" s="204"/>
      <c r="BW279" s="311"/>
      <c r="BX279" s="222"/>
      <c r="BY279" s="202"/>
      <c r="BZ279" s="221"/>
      <c r="CB279" s="311"/>
      <c r="CC279" s="222"/>
      <c r="CD279" s="204"/>
      <c r="CE279" s="311"/>
      <c r="CF279" s="222"/>
      <c r="CG279" s="204"/>
      <c r="CH279" s="311"/>
      <c r="CI279" s="222"/>
      <c r="CJ279" s="204"/>
      <c r="CK279" s="311"/>
      <c r="CL279" s="222"/>
      <c r="CM279" s="202"/>
      <c r="CN279" s="221"/>
    </row>
    <row r="280" spans="2:92" ht="72" thickBot="1" x14ac:dyDescent="0.25">
      <c r="B280" s="1469"/>
      <c r="C280" s="1551"/>
      <c r="D280" s="1443"/>
      <c r="E280" s="1440"/>
      <c r="F280" s="1442" t="s">
        <v>336</v>
      </c>
      <c r="G280" s="315" t="str">
        <f>+'Plan de Accion apoyo transversa'!X123</f>
        <v>Manual  de la Política de Servicio al Ciudadano actualizado para mejorar los estándares de servicio al interior de la Entidad</v>
      </c>
      <c r="H280" s="215" t="str">
        <f>+'Plan de Accion apoyo transversa'!AK123</f>
        <v># Manuales de Política de Servicio al Ciudadano actualizados</v>
      </c>
      <c r="J280" s="218">
        <f>+'Plan de Accion apoyo transversa'!AT123</f>
        <v>1</v>
      </c>
      <c r="K280" s="476">
        <f>+'Plan de Accion apoyo transversa'!CE123</f>
        <v>1</v>
      </c>
      <c r="L280" s="476">
        <f>IF(K280&gt;100%,100%,K280)</f>
        <v>1</v>
      </c>
      <c r="M280" s="476">
        <f>+'Plan de Accion apoyo transversa'!AX123</f>
        <v>1</v>
      </c>
      <c r="N280" s="476">
        <f t="shared" si="258"/>
        <v>1</v>
      </c>
      <c r="O280" s="478">
        <f>+N280</f>
        <v>1</v>
      </c>
      <c r="P280" s="213"/>
      <c r="Q280" s="218">
        <f>+'Plan de Accion apoyo transversa'!BD123</f>
        <v>0</v>
      </c>
      <c r="R280" s="248" t="str">
        <f>+'Plan de Accion apoyo transversa'!CG123</f>
        <v>No Prog ni Ejec</v>
      </c>
      <c r="S280" s="212" t="s">
        <v>204</v>
      </c>
      <c r="T280" s="304">
        <f>+'Plan de Accion apoyo transversa'!BH123</f>
        <v>1</v>
      </c>
      <c r="U280" s="304">
        <f t="shared" si="281"/>
        <v>1</v>
      </c>
      <c r="V280" s="211">
        <f t="shared" ref="V280:V286" si="284">+U280</f>
        <v>1</v>
      </c>
      <c r="W280" s="213"/>
      <c r="X280" s="218">
        <f>+'Plan de Accion apoyo transversa'!BN123</f>
        <v>0</v>
      </c>
      <c r="Y280" s="248" t="str">
        <f>+'Plan de Accion apoyo transversa'!CI123</f>
        <v>No Prog ni Ejec</v>
      </c>
      <c r="Z280" s="212" t="s">
        <v>204</v>
      </c>
      <c r="AA280" s="217">
        <f>+'Plan de Accion apoyo transversa'!BR123</f>
        <v>1</v>
      </c>
      <c r="AB280" s="217">
        <f t="shared" si="279"/>
        <v>1</v>
      </c>
      <c r="AC280" s="216">
        <f t="shared" si="282"/>
        <v>1</v>
      </c>
      <c r="AD280" s="213"/>
      <c r="AE280" s="218">
        <f>+'Plan de Accion apoyo transversa'!BX123</f>
        <v>0</v>
      </c>
      <c r="AF280" s="248" t="str">
        <f>+'Plan de Accion apoyo transversa'!CK123</f>
        <v>No Prog ni Ejec</v>
      </c>
      <c r="AG280" s="212" t="s">
        <v>204</v>
      </c>
      <c r="AH280" s="248">
        <f>+'Plan de Accion apoyo transversa'!CB123</f>
        <v>1</v>
      </c>
      <c r="AI280" s="211">
        <f t="shared" si="283"/>
        <v>1</v>
      </c>
      <c r="AJ280" s="221"/>
      <c r="AL280" s="311"/>
      <c r="AM280" s="222"/>
      <c r="AN280" s="204"/>
      <c r="AO280" s="311"/>
      <c r="AP280" s="222"/>
      <c r="AQ280" s="204"/>
      <c r="AR280" s="311"/>
      <c r="AS280" s="222"/>
      <c r="AT280" s="204"/>
      <c r="AU280" s="311"/>
      <c r="AV280" s="222"/>
      <c r="AW280" s="202"/>
      <c r="AX280" s="221"/>
      <c r="AZ280" s="311"/>
      <c r="BA280" s="222"/>
      <c r="BB280" s="204"/>
      <c r="BC280" s="311"/>
      <c r="BD280" s="222"/>
      <c r="BE280" s="204"/>
      <c r="BF280" s="311"/>
      <c r="BG280" s="222"/>
      <c r="BH280" s="204"/>
      <c r="BI280" s="311"/>
      <c r="BJ280" s="222"/>
      <c r="BK280" s="202"/>
      <c r="BL280" s="221"/>
      <c r="BN280" s="311"/>
      <c r="BO280" s="222"/>
      <c r="BP280" s="204"/>
      <c r="BQ280" s="311"/>
      <c r="BR280" s="222"/>
      <c r="BS280" s="204"/>
      <c r="BT280" s="311"/>
      <c r="BU280" s="222"/>
      <c r="BV280" s="204"/>
      <c r="BW280" s="311"/>
      <c r="BX280" s="222"/>
      <c r="BY280" s="202"/>
      <c r="BZ280" s="221"/>
      <c r="CB280" s="311"/>
      <c r="CC280" s="222"/>
      <c r="CD280" s="204"/>
      <c r="CE280" s="311"/>
      <c r="CF280" s="222"/>
      <c r="CG280" s="204"/>
      <c r="CH280" s="311"/>
      <c r="CI280" s="222"/>
      <c r="CJ280" s="204"/>
      <c r="CK280" s="311"/>
      <c r="CL280" s="222"/>
      <c r="CM280" s="202"/>
      <c r="CN280" s="221"/>
    </row>
    <row r="281" spans="2:92" ht="100.5" thickBot="1" x14ac:dyDescent="0.25">
      <c r="B281" s="1469"/>
      <c r="C281" s="1551"/>
      <c r="D281" s="1443"/>
      <c r="E281" s="1440"/>
      <c r="F281" s="1444"/>
      <c r="G281" s="315" t="str">
        <f>+'Plan de Accion apoyo transversa'!X133</f>
        <v>Reuniones de autocontrol y seguimiento a  los procesos que evidencien monitoreo a los riesgos, indicadores, planes de mejoramiento, manuales y documentos asociados</v>
      </c>
      <c r="H281" s="215" t="str">
        <f>+'Plan de Accion apoyo transversa'!AK133</f>
        <v># reuniones realizadas</v>
      </c>
      <c r="J281" s="218">
        <f>+'Plan de Accion apoyo transversa'!AT133</f>
        <v>0</v>
      </c>
      <c r="K281" s="476" t="str">
        <f>+'Plan de Accion apoyo transversa'!CE133</f>
        <v>No Prog ni Ejec</v>
      </c>
      <c r="L281" s="476" t="s">
        <v>204</v>
      </c>
      <c r="M281" s="476">
        <f>+'Plan de Accion apoyo transversa'!AX133</f>
        <v>0</v>
      </c>
      <c r="N281" s="476">
        <f t="shared" si="258"/>
        <v>0</v>
      </c>
      <c r="O281" s="478" t="s">
        <v>204</v>
      </c>
      <c r="P281" s="213"/>
      <c r="Q281" s="218">
        <f>+'Plan de Accion apoyo transversa'!BD133</f>
        <v>1</v>
      </c>
      <c r="R281" s="248">
        <f>+'Plan de Accion apoyo transversa'!CG133</f>
        <v>1</v>
      </c>
      <c r="S281" s="212">
        <f>IF(R281&gt;100%,100%,R281)</f>
        <v>1</v>
      </c>
      <c r="T281" s="304">
        <f>+'Plan de Accion apoyo transversa'!BH133</f>
        <v>0.33333333333333331</v>
      </c>
      <c r="U281" s="304">
        <f t="shared" si="281"/>
        <v>0.33333333333333331</v>
      </c>
      <c r="V281" s="211">
        <f t="shared" si="284"/>
        <v>0.33333333333333331</v>
      </c>
      <c r="W281" s="213"/>
      <c r="X281" s="218">
        <f>+'Plan de Accion apoyo transversa'!BN133</f>
        <v>1</v>
      </c>
      <c r="Y281" s="248">
        <f>+'Plan de Accion apoyo transversa'!CI133</f>
        <v>1</v>
      </c>
      <c r="Z281" s="212">
        <f>IF(Y281&gt;100%,100%,Y281)</f>
        <v>1</v>
      </c>
      <c r="AA281" s="217">
        <f>+'Plan de Accion apoyo transversa'!BR133</f>
        <v>0.66666666666666663</v>
      </c>
      <c r="AB281" s="217">
        <f t="shared" si="279"/>
        <v>0.66666666666666663</v>
      </c>
      <c r="AC281" s="216">
        <f t="shared" si="282"/>
        <v>0.66666666666666663</v>
      </c>
      <c r="AD281" s="213"/>
      <c r="AE281" s="218">
        <f>+'Plan de Accion apoyo transversa'!BX133</f>
        <v>1</v>
      </c>
      <c r="AF281" s="248">
        <f>+'Plan de Accion apoyo transversa'!CK133</f>
        <v>1</v>
      </c>
      <c r="AG281" s="212">
        <f>IF(AF281&gt;100%,100%,AF281)</f>
        <v>1</v>
      </c>
      <c r="AH281" s="248">
        <f>+'Plan de Accion apoyo transversa'!CB133</f>
        <v>1</v>
      </c>
      <c r="AI281" s="211">
        <f t="shared" si="283"/>
        <v>1</v>
      </c>
      <c r="AJ281" s="221"/>
      <c r="AL281" s="311"/>
      <c r="AM281" s="222"/>
      <c r="AN281" s="204"/>
      <c r="AO281" s="311"/>
      <c r="AP281" s="222"/>
      <c r="AQ281" s="204"/>
      <c r="AR281" s="311"/>
      <c r="AS281" s="222"/>
      <c r="AT281" s="204"/>
      <c r="AU281" s="311"/>
      <c r="AV281" s="222"/>
      <c r="AW281" s="202"/>
      <c r="AX281" s="221"/>
      <c r="AZ281" s="311"/>
      <c r="BA281" s="222"/>
      <c r="BB281" s="204"/>
      <c r="BC281" s="311"/>
      <c r="BD281" s="222"/>
      <c r="BE281" s="204"/>
      <c r="BF281" s="311"/>
      <c r="BG281" s="222"/>
      <c r="BH281" s="204"/>
      <c r="BI281" s="311"/>
      <c r="BJ281" s="222"/>
      <c r="BK281" s="202"/>
      <c r="BL281" s="221"/>
      <c r="BN281" s="311"/>
      <c r="BO281" s="222"/>
      <c r="BP281" s="204"/>
      <c r="BQ281" s="311"/>
      <c r="BR281" s="222"/>
      <c r="BS281" s="204"/>
      <c r="BT281" s="311"/>
      <c r="BU281" s="222"/>
      <c r="BV281" s="204"/>
      <c r="BW281" s="311"/>
      <c r="BX281" s="222"/>
      <c r="BY281" s="202"/>
      <c r="BZ281" s="221"/>
      <c r="CB281" s="311"/>
      <c r="CC281" s="222"/>
      <c r="CD281" s="204"/>
      <c r="CE281" s="311"/>
      <c r="CF281" s="222"/>
      <c r="CG281" s="204"/>
      <c r="CH281" s="311"/>
      <c r="CI281" s="222"/>
      <c r="CJ281" s="204"/>
      <c r="CK281" s="311"/>
      <c r="CL281" s="222"/>
      <c r="CM281" s="202"/>
      <c r="CN281" s="221"/>
    </row>
    <row r="282" spans="2:92" ht="29.25" thickBot="1" x14ac:dyDescent="0.25">
      <c r="B282" s="1469"/>
      <c r="C282" s="1551"/>
      <c r="D282" s="1443"/>
      <c r="E282" s="1440"/>
      <c r="F282" s="1443" t="s">
        <v>990</v>
      </c>
      <c r="G282" s="315" t="str">
        <f>+'Plan de Accion apoyo transversa'!X171</f>
        <v>Solicitud escrita desde Talento Humano</v>
      </c>
      <c r="H282" s="215" t="str">
        <f>+'Plan de Accion apoyo transversa'!AK171</f>
        <v># Solicitudes escritas desde Talento Humano</v>
      </c>
      <c r="J282" s="218">
        <f>+'Plan de Accion apoyo transversa'!AT171</f>
        <v>0</v>
      </c>
      <c r="K282" s="476">
        <f>+'Plan de Accion apoyo transversa'!CE171</f>
        <v>0</v>
      </c>
      <c r="L282" s="476">
        <f>IF(K282&gt;100%,100%,K282)</f>
        <v>0</v>
      </c>
      <c r="M282" s="476">
        <f>+'Plan de Accion apoyo transversa'!AX171</f>
        <v>0</v>
      </c>
      <c r="N282" s="476">
        <f t="shared" si="258"/>
        <v>0</v>
      </c>
      <c r="O282" s="478">
        <f>+N282</f>
        <v>0</v>
      </c>
      <c r="P282" s="213"/>
      <c r="Q282" s="218">
        <f>+'Plan de Accion apoyo transversa'!BD171</f>
        <v>1</v>
      </c>
      <c r="R282" s="248">
        <f>+'Plan de Accion apoyo transversa'!CG171</f>
        <v>0.33333333333333331</v>
      </c>
      <c r="S282" s="212">
        <f>IF(R282&gt;100%,100%,R282)</f>
        <v>0.33333333333333331</v>
      </c>
      <c r="T282" s="304">
        <f>+'Plan de Accion apoyo transversa'!BH171</f>
        <v>9.0909090909090912E-2</v>
      </c>
      <c r="U282" s="304">
        <f t="shared" si="281"/>
        <v>9.0909090909090912E-2</v>
      </c>
      <c r="V282" s="211">
        <f t="shared" si="284"/>
        <v>9.0909090909090912E-2</v>
      </c>
      <c r="W282" s="213"/>
      <c r="X282" s="218">
        <f>+'Plan de Accion apoyo transversa'!BN171</f>
        <v>1</v>
      </c>
      <c r="Y282" s="248">
        <f>+'Plan de Accion apoyo transversa'!CI171</f>
        <v>0.33333333333333331</v>
      </c>
      <c r="Z282" s="212">
        <f>IF(Y282&gt;100%,100%,Y282)</f>
        <v>0.33333333333333331</v>
      </c>
      <c r="AA282" s="217">
        <f>+'Plan de Accion apoyo transversa'!BR171</f>
        <v>0.18181818181818182</v>
      </c>
      <c r="AB282" s="217">
        <f t="shared" si="279"/>
        <v>0.18181818181818182</v>
      </c>
      <c r="AC282" s="216">
        <f t="shared" si="282"/>
        <v>0.18181818181818182</v>
      </c>
      <c r="AD282" s="213"/>
      <c r="AE282" s="218">
        <f>+'Plan de Accion apoyo transversa'!BX171</f>
        <v>0</v>
      </c>
      <c r="AF282" s="248">
        <f>+'Plan de Accion apoyo transversa'!CK171</f>
        <v>0</v>
      </c>
      <c r="AG282" s="212">
        <f>IF(AF282&gt;100%,100%,AF282)</f>
        <v>0</v>
      </c>
      <c r="AH282" s="248">
        <f>+'Plan de Accion apoyo transversa'!CB171</f>
        <v>0.18181818181818182</v>
      </c>
      <c r="AI282" s="211">
        <f t="shared" si="283"/>
        <v>0.18181818181818182</v>
      </c>
      <c r="AJ282" s="221"/>
      <c r="AL282" s="311"/>
      <c r="AM282" s="222"/>
      <c r="AN282" s="204"/>
      <c r="AO282" s="311"/>
      <c r="AP282" s="222"/>
      <c r="AQ282" s="204"/>
      <c r="AR282" s="311"/>
      <c r="AS282" s="222"/>
      <c r="AT282" s="204"/>
      <c r="AU282" s="311"/>
      <c r="AV282" s="222"/>
      <c r="AW282" s="202"/>
      <c r="AX282" s="221"/>
      <c r="AZ282" s="311"/>
      <c r="BA282" s="222"/>
      <c r="BB282" s="204"/>
      <c r="BC282" s="311"/>
      <c r="BD282" s="222"/>
      <c r="BE282" s="204"/>
      <c r="BF282" s="311"/>
      <c r="BG282" s="222"/>
      <c r="BH282" s="204"/>
      <c r="BI282" s="311"/>
      <c r="BJ282" s="222"/>
      <c r="BK282" s="202"/>
      <c r="BL282" s="221"/>
      <c r="BN282" s="311"/>
      <c r="BO282" s="222"/>
      <c r="BP282" s="204"/>
      <c r="BQ282" s="311"/>
      <c r="BR282" s="222"/>
      <c r="BS282" s="204"/>
      <c r="BT282" s="311"/>
      <c r="BU282" s="222"/>
      <c r="BV282" s="204"/>
      <c r="BW282" s="311"/>
      <c r="BX282" s="222"/>
      <c r="BY282" s="202"/>
      <c r="BZ282" s="221"/>
      <c r="CB282" s="311"/>
      <c r="CC282" s="222"/>
      <c r="CD282" s="204"/>
      <c r="CE282" s="311"/>
      <c r="CF282" s="222"/>
      <c r="CG282" s="204"/>
      <c r="CH282" s="311"/>
      <c r="CI282" s="222"/>
      <c r="CJ282" s="204"/>
      <c r="CK282" s="311"/>
      <c r="CL282" s="222"/>
      <c r="CM282" s="202"/>
      <c r="CN282" s="221"/>
    </row>
    <row r="283" spans="2:92" ht="43.5" thickBot="1" x14ac:dyDescent="0.25">
      <c r="B283" s="1469"/>
      <c r="C283" s="1551"/>
      <c r="D283" s="1443"/>
      <c r="E283" s="1440"/>
      <c r="F283" s="1443"/>
      <c r="G283" s="315" t="str">
        <f>+'Plan de Accion apoyo transversa'!X172</f>
        <v>Actos administrativos</v>
      </c>
      <c r="H283" s="215" t="str">
        <f>+'Plan de Accion apoyo transversa'!AK172</f>
        <v># de nombramientos realizados / # Solicitudes de nombramientos</v>
      </c>
      <c r="J283" s="214">
        <f>+'Plan de Accion apoyo transversa'!AT172</f>
        <v>0.25</v>
      </c>
      <c r="K283" s="476">
        <f>+'Plan de Accion apoyo transversa'!CE172</f>
        <v>1</v>
      </c>
      <c r="L283" s="476">
        <f>IF(K283&gt;100%,100%,K283)</f>
        <v>1</v>
      </c>
      <c r="M283" s="476">
        <f>+'Plan de Accion apoyo transversa'!AX172</f>
        <v>0.25</v>
      </c>
      <c r="N283" s="476">
        <f t="shared" si="258"/>
        <v>0.25</v>
      </c>
      <c r="O283" s="478">
        <f>+N283</f>
        <v>0.25</v>
      </c>
      <c r="P283" s="213"/>
      <c r="Q283" s="214">
        <f>+'Plan de Accion apoyo transversa'!BD172</f>
        <v>0.25</v>
      </c>
      <c r="R283" s="248">
        <f>+'Plan de Accion apoyo transversa'!CG172</f>
        <v>1</v>
      </c>
      <c r="S283" s="212">
        <f>IF(R283&gt;100%,100%,R283)</f>
        <v>1</v>
      </c>
      <c r="T283" s="304">
        <f>+'Plan de Accion apoyo transversa'!BH172</f>
        <v>0.5</v>
      </c>
      <c r="U283" s="304">
        <f t="shared" si="281"/>
        <v>0.5</v>
      </c>
      <c r="V283" s="211">
        <f t="shared" si="284"/>
        <v>0.5</v>
      </c>
      <c r="W283" s="213"/>
      <c r="X283" s="214">
        <f>+'Plan de Accion apoyo transversa'!BN172</f>
        <v>0.25</v>
      </c>
      <c r="Y283" s="248">
        <f>+'Plan de Accion apoyo transversa'!CI172</f>
        <v>1</v>
      </c>
      <c r="Z283" s="212">
        <f>IF(Y283&gt;100%,100%,Y283)</f>
        <v>1</v>
      </c>
      <c r="AA283" s="217">
        <f>+'Plan de Accion apoyo transversa'!BR172</f>
        <v>0.75</v>
      </c>
      <c r="AB283" s="217">
        <f t="shared" si="279"/>
        <v>0.75</v>
      </c>
      <c r="AC283" s="216">
        <f t="shared" si="282"/>
        <v>0.75</v>
      </c>
      <c r="AD283" s="213"/>
      <c r="AE283" s="214">
        <f>+'Plan de Accion apoyo transversa'!BX172</f>
        <v>0.25</v>
      </c>
      <c r="AF283" s="248">
        <f>+'Plan de Accion apoyo transversa'!CK172</f>
        <v>1</v>
      </c>
      <c r="AG283" s="212">
        <f>IF(AF283&gt;100%,100%,AF283)</f>
        <v>1</v>
      </c>
      <c r="AH283" s="248">
        <f>+'Plan de Accion apoyo transversa'!CB172</f>
        <v>1</v>
      </c>
      <c r="AI283" s="211">
        <f t="shared" si="283"/>
        <v>1</v>
      </c>
      <c r="AJ283" s="221"/>
      <c r="AL283" s="311"/>
      <c r="AM283" s="222"/>
      <c r="AN283" s="204"/>
      <c r="AO283" s="311"/>
      <c r="AP283" s="222"/>
      <c r="AQ283" s="204"/>
      <c r="AR283" s="311"/>
      <c r="AS283" s="222"/>
      <c r="AT283" s="204"/>
      <c r="AU283" s="311"/>
      <c r="AV283" s="222"/>
      <c r="AW283" s="202"/>
      <c r="AX283" s="221"/>
      <c r="AZ283" s="311"/>
      <c r="BA283" s="222"/>
      <c r="BB283" s="204"/>
      <c r="BC283" s="311"/>
      <c r="BD283" s="222"/>
      <c r="BE283" s="204"/>
      <c r="BF283" s="311"/>
      <c r="BG283" s="222"/>
      <c r="BH283" s="204"/>
      <c r="BI283" s="311"/>
      <c r="BJ283" s="222"/>
      <c r="BK283" s="202"/>
      <c r="BL283" s="221"/>
      <c r="BN283" s="311"/>
      <c r="BO283" s="222"/>
      <c r="BP283" s="204"/>
      <c r="BQ283" s="311"/>
      <c r="BR283" s="222"/>
      <c r="BS283" s="204"/>
      <c r="BT283" s="311"/>
      <c r="BU283" s="222"/>
      <c r="BV283" s="204"/>
      <c r="BW283" s="311"/>
      <c r="BX283" s="222"/>
      <c r="BY283" s="202"/>
      <c r="BZ283" s="221"/>
      <c r="CB283" s="311"/>
      <c r="CC283" s="222"/>
      <c r="CD283" s="204"/>
      <c r="CE283" s="311"/>
      <c r="CF283" s="222"/>
      <c r="CG283" s="204"/>
      <c r="CH283" s="311"/>
      <c r="CI283" s="222"/>
      <c r="CJ283" s="204"/>
      <c r="CK283" s="311"/>
      <c r="CL283" s="222"/>
      <c r="CM283" s="202"/>
      <c r="CN283" s="221"/>
    </row>
    <row r="284" spans="2:92" ht="43.5" thickBot="1" x14ac:dyDescent="0.25">
      <c r="B284" s="1469"/>
      <c r="C284" s="1551"/>
      <c r="D284" s="1443"/>
      <c r="E284" s="1440"/>
      <c r="F284" s="1444"/>
      <c r="G284" s="315" t="str">
        <f>+'Plan de Accion apoyo transversa'!X173</f>
        <v>Actas de Posesión</v>
      </c>
      <c r="H284" s="215" t="str">
        <f>+'Plan de Accion apoyo transversa'!AK173</f>
        <v xml:space="preserve"># de posesionados / # de nombramientos comunicados y aceptados </v>
      </c>
      <c r="J284" s="214">
        <f>+'Plan de Accion apoyo transversa'!AT173</f>
        <v>0.25</v>
      </c>
      <c r="K284" s="476">
        <f>+'Plan de Accion apoyo transversa'!CE173</f>
        <v>1</v>
      </c>
      <c r="L284" s="476">
        <f>IF(K284&gt;100%,100%,K284)</f>
        <v>1</v>
      </c>
      <c r="M284" s="476">
        <f>+'Plan de Accion apoyo transversa'!AX173</f>
        <v>0.25</v>
      </c>
      <c r="N284" s="476">
        <f t="shared" si="258"/>
        <v>0.25</v>
      </c>
      <c r="O284" s="478">
        <f>+N284</f>
        <v>0.25</v>
      </c>
      <c r="P284" s="213"/>
      <c r="Q284" s="214">
        <f>+'Plan de Accion apoyo transversa'!BD173</f>
        <v>0.25</v>
      </c>
      <c r="R284" s="248">
        <f>+'Plan de Accion apoyo transversa'!CG173</f>
        <v>1</v>
      </c>
      <c r="S284" s="212">
        <f>IF(R284&gt;100%,100%,R284)</f>
        <v>1</v>
      </c>
      <c r="T284" s="304">
        <f>+'Plan de Accion apoyo transversa'!BH173</f>
        <v>0.5</v>
      </c>
      <c r="U284" s="304">
        <f t="shared" si="281"/>
        <v>0.5</v>
      </c>
      <c r="V284" s="211">
        <f t="shared" si="284"/>
        <v>0.5</v>
      </c>
      <c r="W284" s="213"/>
      <c r="X284" s="214">
        <f>+'Plan de Accion apoyo transversa'!BN173</f>
        <v>0.25</v>
      </c>
      <c r="Y284" s="248">
        <f>+'Plan de Accion apoyo transversa'!CI173</f>
        <v>1</v>
      </c>
      <c r="Z284" s="212">
        <f>IF(Y284&gt;100%,100%,Y284)</f>
        <v>1</v>
      </c>
      <c r="AA284" s="217">
        <f>+'Plan de Accion apoyo transversa'!BR173</f>
        <v>0.75</v>
      </c>
      <c r="AB284" s="217">
        <f t="shared" si="279"/>
        <v>0.75</v>
      </c>
      <c r="AC284" s="216">
        <f t="shared" si="282"/>
        <v>0.75</v>
      </c>
      <c r="AD284" s="213"/>
      <c r="AE284" s="214">
        <f>+'Plan de Accion apoyo transversa'!BX173</f>
        <v>0.25</v>
      </c>
      <c r="AF284" s="248">
        <f>+'Plan de Accion apoyo transversa'!CK173</f>
        <v>1</v>
      </c>
      <c r="AG284" s="212">
        <f>IF(AF284&gt;100%,100%,AF284)</f>
        <v>1</v>
      </c>
      <c r="AH284" s="248">
        <f>+'Plan de Accion apoyo transversa'!CB173</f>
        <v>1</v>
      </c>
      <c r="AI284" s="211">
        <f t="shared" si="283"/>
        <v>1</v>
      </c>
      <c r="AJ284" s="221"/>
      <c r="AL284" s="311"/>
      <c r="AM284" s="222"/>
      <c r="AN284" s="204"/>
      <c r="AO284" s="311"/>
      <c r="AP284" s="222"/>
      <c r="AQ284" s="204"/>
      <c r="AR284" s="311"/>
      <c r="AS284" s="222"/>
      <c r="AT284" s="204"/>
      <c r="AU284" s="311"/>
      <c r="AV284" s="222"/>
      <c r="AW284" s="202"/>
      <c r="AX284" s="221"/>
      <c r="AZ284" s="311"/>
      <c r="BA284" s="222"/>
      <c r="BB284" s="204"/>
      <c r="BC284" s="311"/>
      <c r="BD284" s="222"/>
      <c r="BE284" s="204"/>
      <c r="BF284" s="311"/>
      <c r="BG284" s="222"/>
      <c r="BH284" s="204"/>
      <c r="BI284" s="311"/>
      <c r="BJ284" s="222"/>
      <c r="BK284" s="202"/>
      <c r="BL284" s="221"/>
      <c r="BN284" s="311"/>
      <c r="BO284" s="222"/>
      <c r="BP284" s="204"/>
      <c r="BQ284" s="311"/>
      <c r="BR284" s="222"/>
      <c r="BS284" s="204"/>
      <c r="BT284" s="311"/>
      <c r="BU284" s="222"/>
      <c r="BV284" s="204"/>
      <c r="BW284" s="311"/>
      <c r="BX284" s="222"/>
      <c r="BY284" s="202"/>
      <c r="BZ284" s="221"/>
      <c r="CB284" s="311"/>
      <c r="CC284" s="222"/>
      <c r="CD284" s="204"/>
      <c r="CE284" s="311"/>
      <c r="CF284" s="222"/>
      <c r="CG284" s="204"/>
      <c r="CH284" s="311"/>
      <c r="CI284" s="222"/>
      <c r="CJ284" s="204"/>
      <c r="CK284" s="311"/>
      <c r="CL284" s="222"/>
      <c r="CM284" s="202"/>
      <c r="CN284" s="221"/>
    </row>
    <row r="285" spans="2:92" ht="57.75" thickBot="1" x14ac:dyDescent="0.25">
      <c r="B285" s="1469"/>
      <c r="C285" s="1551"/>
      <c r="D285" s="1443"/>
      <c r="E285" s="1440"/>
      <c r="F285" s="512" t="s">
        <v>527</v>
      </c>
      <c r="G285" s="523" t="str">
        <f>+'Plan de Accion apoyo transversa'!X180</f>
        <v>Autodiagnóstico frente al cumplimiento del Régimen de protección de datos personales</v>
      </c>
      <c r="H285" s="215" t="str">
        <f>+'Plan de Accion apoyo transversa'!AK180</f>
        <v># Autodiagnósticos de Ley de Protección de Datos - LPD realizados</v>
      </c>
      <c r="J285" s="218">
        <f>+'Plan de Accion apoyo transversa'!AT180</f>
        <v>1</v>
      </c>
      <c r="K285" s="515">
        <f>+'Plan de Accion apoyo transversa'!CE180</f>
        <v>1</v>
      </c>
      <c r="L285" s="515">
        <f>IF(K285&gt;100%,100%,K285)</f>
        <v>1</v>
      </c>
      <c r="M285" s="515">
        <f>+'Plan de Accion apoyo transversa'!AX180</f>
        <v>1</v>
      </c>
      <c r="N285" s="515">
        <f t="shared" si="258"/>
        <v>1</v>
      </c>
      <c r="O285" s="516">
        <f>+N285</f>
        <v>1</v>
      </c>
      <c r="P285" s="213"/>
      <c r="Q285" s="218">
        <f>+'Plan de Accion apoyo transversa'!BD180</f>
        <v>0</v>
      </c>
      <c r="R285" s="248" t="str">
        <f>+'Plan de Accion apoyo transversa'!CG180</f>
        <v>No Prog ni Ejec</v>
      </c>
      <c r="S285" s="212" t="s">
        <v>204</v>
      </c>
      <c r="T285" s="515">
        <f>+'Plan de Accion apoyo transversa'!BH180</f>
        <v>1</v>
      </c>
      <c r="U285" s="515">
        <f t="shared" si="281"/>
        <v>1</v>
      </c>
      <c r="V285" s="211">
        <f t="shared" si="284"/>
        <v>1</v>
      </c>
      <c r="W285" s="213"/>
      <c r="X285" s="218">
        <f>+'Plan de Accion apoyo transversa'!BN180</f>
        <v>0</v>
      </c>
      <c r="Y285" s="248" t="str">
        <f>+'Plan de Accion apoyo transversa'!CI180</f>
        <v>No Prog ni Ejec</v>
      </c>
      <c r="Z285" s="212" t="s">
        <v>204</v>
      </c>
      <c r="AA285" s="217">
        <f>+'Plan de Accion apoyo transversa'!BR180</f>
        <v>1</v>
      </c>
      <c r="AB285" s="217">
        <f t="shared" si="279"/>
        <v>1</v>
      </c>
      <c r="AC285" s="216">
        <f t="shared" si="282"/>
        <v>1</v>
      </c>
      <c r="AD285" s="213"/>
      <c r="AE285" s="218">
        <f>+'Plan de Accion apoyo transversa'!BX180</f>
        <v>0</v>
      </c>
      <c r="AF285" s="248" t="str">
        <f>+'Plan de Accion apoyo transversa'!CK180</f>
        <v>No Prog ni Ejec</v>
      </c>
      <c r="AG285" s="212" t="s">
        <v>204</v>
      </c>
      <c r="AH285" s="248">
        <f>+'Plan de Accion apoyo transversa'!CB180</f>
        <v>1</v>
      </c>
      <c r="AI285" s="211">
        <f t="shared" si="283"/>
        <v>1</v>
      </c>
      <c r="AJ285" s="221"/>
      <c r="AL285" s="520"/>
      <c r="AM285" s="222"/>
      <c r="AN285" s="204"/>
      <c r="AO285" s="520"/>
      <c r="AP285" s="222"/>
      <c r="AQ285" s="204"/>
      <c r="AR285" s="520"/>
      <c r="AS285" s="222"/>
      <c r="AT285" s="204"/>
      <c r="AU285" s="520"/>
      <c r="AV285" s="222"/>
      <c r="AW285" s="202"/>
      <c r="AX285" s="221"/>
      <c r="AZ285" s="520"/>
      <c r="BA285" s="222"/>
      <c r="BB285" s="204"/>
      <c r="BC285" s="520"/>
      <c r="BD285" s="222"/>
      <c r="BE285" s="204"/>
      <c r="BF285" s="520"/>
      <c r="BG285" s="222"/>
      <c r="BH285" s="204"/>
      <c r="BI285" s="520"/>
      <c r="BJ285" s="222"/>
      <c r="BK285" s="202"/>
      <c r="BL285" s="221"/>
      <c r="BN285" s="520"/>
      <c r="BO285" s="222"/>
      <c r="BP285" s="204"/>
      <c r="BQ285" s="520"/>
      <c r="BR285" s="222"/>
      <c r="BS285" s="204"/>
      <c r="BT285" s="520"/>
      <c r="BU285" s="222"/>
      <c r="BV285" s="204"/>
      <c r="BW285" s="520"/>
      <c r="BX285" s="222"/>
      <c r="BY285" s="202"/>
      <c r="BZ285" s="221"/>
      <c r="CB285" s="520"/>
      <c r="CC285" s="222"/>
      <c r="CD285" s="204"/>
      <c r="CE285" s="520"/>
      <c r="CF285" s="222"/>
      <c r="CG285" s="204"/>
      <c r="CH285" s="520"/>
      <c r="CI285" s="222"/>
      <c r="CJ285" s="204"/>
      <c r="CK285" s="520"/>
      <c r="CL285" s="222"/>
      <c r="CM285" s="202"/>
      <c r="CN285" s="221"/>
    </row>
    <row r="286" spans="2:92" ht="57.75" thickBot="1" x14ac:dyDescent="0.25">
      <c r="B286" s="1469"/>
      <c r="C286" s="1551"/>
      <c r="D286" s="1443"/>
      <c r="E286" s="1440"/>
      <c r="F286" s="1442" t="s">
        <v>989</v>
      </c>
      <c r="G286" s="663" t="str">
        <f>+'Plan de Accion apoyo transversa'!X175</f>
        <v>Contratos suscritos</v>
      </c>
      <c r="H286" s="215" t="str">
        <f>+'Plan de Accion apoyo transversa'!AK175</f>
        <v># Contratos del Plan de Adquisiciones suscritos / # contrataciones del Plan de Adquisiciones</v>
      </c>
      <c r="J286" s="214">
        <f>+'Plan de Accion apoyo transversa'!AT175</f>
        <v>0</v>
      </c>
      <c r="K286" s="650" t="s">
        <v>180</v>
      </c>
      <c r="L286" s="650" t="s">
        <v>204</v>
      </c>
      <c r="M286" s="650" t="s">
        <v>204</v>
      </c>
      <c r="N286" s="650" t="s">
        <v>204</v>
      </c>
      <c r="O286" s="651" t="s">
        <v>204</v>
      </c>
      <c r="P286" s="213"/>
      <c r="Q286" s="214">
        <f>+'Plan de Accion apoyo transversa'!BD175</f>
        <v>0.17546583850931677</v>
      </c>
      <c r="R286" s="248">
        <f>+'Plan de Accion apoyo transversa'!CG175</f>
        <v>0.70186335403726707</v>
      </c>
      <c r="S286" s="212">
        <f>IF(R286&gt;100%,100%,R286)</f>
        <v>0.70186335403726707</v>
      </c>
      <c r="T286" s="650">
        <f>+'Plan de Accion apoyo transversa'!BH175</f>
        <v>0.23395445134575568</v>
      </c>
      <c r="U286" s="650">
        <f t="shared" ref="U286" si="285">IF(T286&gt;100%,100%,T286)</f>
        <v>0.23395445134575568</v>
      </c>
      <c r="V286" s="211">
        <f t="shared" si="284"/>
        <v>0.23395445134575568</v>
      </c>
      <c r="W286" s="213"/>
      <c r="X286" s="214">
        <f>+'Plan de Accion apoyo transversa'!BN175</f>
        <v>0.20882352941176471</v>
      </c>
      <c r="Y286" s="248">
        <f>+'Plan de Accion apoyo transversa'!CI175</f>
        <v>0.83529411764705885</v>
      </c>
      <c r="Z286" s="212">
        <f>IF(Y286&gt;100%,100%,Y286)</f>
        <v>0.83529411764705885</v>
      </c>
      <c r="AA286" s="217">
        <f>+'Plan de Accion apoyo transversa'!BR175</f>
        <v>0.51238582389477527</v>
      </c>
      <c r="AB286" s="217">
        <f t="shared" ref="AB286" si="286">IF(AA286&gt;100%,100%,AA286)</f>
        <v>0.51238582389477527</v>
      </c>
      <c r="AC286" s="216">
        <f>+AB286</f>
        <v>0.51238582389477527</v>
      </c>
      <c r="AD286" s="213"/>
      <c r="AE286" s="214">
        <f>+'Plan de Accion apoyo transversa'!BX175</f>
        <v>0.25</v>
      </c>
      <c r="AF286" s="248">
        <f>+'Plan de Accion apoyo transversa'!CK175</f>
        <v>1</v>
      </c>
      <c r="AG286" s="212">
        <f>IF(AF286&gt;100%,100%,AF286)</f>
        <v>1</v>
      </c>
      <c r="AH286" s="248">
        <f>+'Plan de Accion apoyo transversa'!CB175</f>
        <v>0.84571915722810864</v>
      </c>
      <c r="AI286" s="211">
        <f t="shared" ref="AI286" si="287">IF(AH286&gt;100%,100%,AH286)</f>
        <v>0.84571915722810864</v>
      </c>
      <c r="AJ286" s="221"/>
      <c r="AL286" s="658"/>
      <c r="AM286" s="222"/>
      <c r="AN286" s="204"/>
      <c r="AO286" s="658"/>
      <c r="AP286" s="222"/>
      <c r="AQ286" s="204"/>
      <c r="AR286" s="658"/>
      <c r="AS286" s="222"/>
      <c r="AT286" s="204"/>
      <c r="AU286" s="658"/>
      <c r="AV286" s="222"/>
      <c r="AW286" s="202"/>
      <c r="AX286" s="221"/>
      <c r="AZ286" s="658"/>
      <c r="BA286" s="222"/>
      <c r="BB286" s="204"/>
      <c r="BC286" s="658"/>
      <c r="BD286" s="222"/>
      <c r="BE286" s="204"/>
      <c r="BF286" s="658"/>
      <c r="BG286" s="222"/>
      <c r="BH286" s="204"/>
      <c r="BI286" s="658"/>
      <c r="BJ286" s="222"/>
      <c r="BK286" s="202"/>
      <c r="BL286" s="221"/>
      <c r="BN286" s="658"/>
      <c r="BO286" s="222"/>
      <c r="BP286" s="204"/>
      <c r="BQ286" s="658"/>
      <c r="BR286" s="222"/>
      <c r="BS286" s="204"/>
      <c r="BT286" s="658"/>
      <c r="BU286" s="222"/>
      <c r="BV286" s="204"/>
      <c r="BW286" s="658"/>
      <c r="BX286" s="222"/>
      <c r="BY286" s="202"/>
      <c r="BZ286" s="221"/>
      <c r="CB286" s="658"/>
      <c r="CC286" s="222"/>
      <c r="CD286" s="204"/>
      <c r="CE286" s="658"/>
      <c r="CF286" s="222"/>
      <c r="CG286" s="204"/>
      <c r="CH286" s="658"/>
      <c r="CI286" s="222"/>
      <c r="CJ286" s="204"/>
      <c r="CK286" s="658"/>
      <c r="CL286" s="222"/>
      <c r="CM286" s="202"/>
      <c r="CN286" s="221"/>
    </row>
    <row r="287" spans="2:92" ht="74.25" customHeight="1" thickBot="1" x14ac:dyDescent="0.25">
      <c r="B287" s="1469"/>
      <c r="C287" s="1551"/>
      <c r="D287" s="1444"/>
      <c r="E287" s="1441"/>
      <c r="F287" s="1444"/>
      <c r="G287" s="315" t="str">
        <f>+'Plan de Accion apoyo transversa'!X174</f>
        <v>Contratos suscritos</v>
      </c>
      <c r="H287" s="215" t="str">
        <f>+'Plan de Accion apoyo transversa'!AK174</f>
        <v># Contratos del Plan de Adquisiciones suscritos / # contrataciones del Plan de Adquisiciones</v>
      </c>
      <c r="J287" s="214">
        <f>+'Plan de Accion apoyo transversa'!AT174</f>
        <v>0.14873417721518986</v>
      </c>
      <c r="K287" s="476">
        <f>+'Plan de Accion apoyo transversa'!CE174</f>
        <v>0.59493670886075944</v>
      </c>
      <c r="L287" s="476">
        <f>IF(K287&gt;100%,100%,K287)</f>
        <v>0.59493670886075944</v>
      </c>
      <c r="M287" s="476">
        <f>+'Plan de Accion apoyo transversa'!AX174</f>
        <v>0.59493670886075944</v>
      </c>
      <c r="N287" s="476">
        <f t="shared" si="258"/>
        <v>0.59493670886075944</v>
      </c>
      <c r="O287" s="478">
        <f>+N287</f>
        <v>0.59493670886075944</v>
      </c>
      <c r="P287" s="213"/>
      <c r="Q287" s="214">
        <f>+'Plan de Accion apoyo transversa'!BD174</f>
        <v>0</v>
      </c>
      <c r="R287" s="248" t="str">
        <f>+'Plan de Accion apoyo transversa'!CG176</f>
        <v>No Prog ni Ejec</v>
      </c>
      <c r="S287" s="212" t="s">
        <v>204</v>
      </c>
      <c r="T287" s="1136">
        <f>+'Plan de Accion apoyo transversa'!BH174</f>
        <v>0.59493670886075944</v>
      </c>
      <c r="U287" s="1136">
        <f t="shared" ref="U287" si="288">IF(T287&gt;100%,100%,T287)</f>
        <v>0.59493670886075944</v>
      </c>
      <c r="V287" s="211">
        <f t="shared" ref="V287" si="289">+U287</f>
        <v>0.59493670886075944</v>
      </c>
      <c r="W287" s="213"/>
      <c r="X287" s="214">
        <f>+'Plan de Accion apoyo transversa'!BN174</f>
        <v>0</v>
      </c>
      <c r="Y287" s="248" t="s">
        <v>180</v>
      </c>
      <c r="Z287" s="212" t="s">
        <v>204</v>
      </c>
      <c r="AA287" s="217">
        <f>+'Plan de Accion apoyo transversa'!BR174</f>
        <v>0.59493670886075944</v>
      </c>
      <c r="AB287" s="217">
        <f t="shared" ref="AB287" si="290">IF(AA287&gt;100%,100%,AA287)</f>
        <v>0.59493670886075944</v>
      </c>
      <c r="AC287" s="216">
        <f>+AB287</f>
        <v>0.59493670886075944</v>
      </c>
      <c r="AD287" s="213"/>
      <c r="AE287" s="214">
        <f>+'Plan de Accion apoyo transversa'!BX174</f>
        <v>0</v>
      </c>
      <c r="AF287" s="248" t="s">
        <v>180</v>
      </c>
      <c r="AG287" s="212" t="s">
        <v>204</v>
      </c>
      <c r="AH287" s="248">
        <f>+'Plan de Accion apoyo transversa'!CB174</f>
        <v>0.59493670886075944</v>
      </c>
      <c r="AI287" s="211">
        <f t="shared" ref="AI287" si="291">IF(AH287&gt;100%,100%,AH287)</f>
        <v>0.59493670886075944</v>
      </c>
      <c r="AJ287" s="221"/>
      <c r="AL287" s="311"/>
      <c r="AM287" s="222"/>
      <c r="AN287" s="204"/>
      <c r="AO287" s="311"/>
      <c r="AP287" s="222"/>
      <c r="AQ287" s="204"/>
      <c r="AR287" s="311"/>
      <c r="AS287" s="222"/>
      <c r="AT287" s="204"/>
      <c r="AU287" s="311"/>
      <c r="AV287" s="222"/>
      <c r="AW287" s="202"/>
      <c r="AX287" s="221"/>
      <c r="AZ287" s="311"/>
      <c r="BA287" s="222"/>
      <c r="BB287" s="204"/>
      <c r="BC287" s="311"/>
      <c r="BD287" s="222"/>
      <c r="BE287" s="204"/>
      <c r="BF287" s="311"/>
      <c r="BG287" s="222"/>
      <c r="BH287" s="204"/>
      <c r="BI287" s="311"/>
      <c r="BJ287" s="222"/>
      <c r="BK287" s="202"/>
      <c r="BL287" s="221"/>
      <c r="BN287" s="311"/>
      <c r="BO287" s="222"/>
      <c r="BP287" s="204"/>
      <c r="BQ287" s="311"/>
      <c r="BR287" s="222"/>
      <c r="BS287" s="204"/>
      <c r="BT287" s="311"/>
      <c r="BU287" s="222"/>
      <c r="BV287" s="204"/>
      <c r="BW287" s="311"/>
      <c r="BX287" s="222"/>
      <c r="BY287" s="202"/>
      <c r="BZ287" s="221"/>
      <c r="CB287" s="311"/>
      <c r="CC287" s="222"/>
      <c r="CD287" s="204"/>
      <c r="CE287" s="311"/>
      <c r="CF287" s="222"/>
      <c r="CG287" s="204"/>
      <c r="CH287" s="311"/>
      <c r="CI287" s="222"/>
      <c r="CJ287" s="204"/>
      <c r="CK287" s="311"/>
      <c r="CL287" s="222"/>
      <c r="CM287" s="202"/>
      <c r="CN287" s="221"/>
    </row>
    <row r="288" spans="2:92" ht="86.25" thickBot="1" x14ac:dyDescent="0.25">
      <c r="B288" s="1469"/>
      <c r="C288" s="1551"/>
      <c r="D288" s="1442" t="s">
        <v>204</v>
      </c>
      <c r="E288" s="1439" t="s">
        <v>230</v>
      </c>
      <c r="F288" s="1442" t="s">
        <v>527</v>
      </c>
      <c r="G288" s="315" t="str">
        <f>+'Plan de Accion apoyo transversa'!X135</f>
        <v>Servicios, infraestructura, Sistemas de información migrados (Transición) a IPV6 y compatibilidad con IPV4</v>
      </c>
      <c r="H288" s="215" t="str">
        <f>+'Plan de Accion apoyo transversa'!AK135</f>
        <v>(Servicios, infraestructura, Sistemas de información) migrados a IPV6 / (Servicios, infraestructura, Sistemas de información) compatibles a migración IPV6</v>
      </c>
      <c r="J288" s="214">
        <f>+'Plan de Accion apoyo transversa'!AT135</f>
        <v>0</v>
      </c>
      <c r="K288" s="476" t="str">
        <f>+'Plan de Accion apoyo transversa'!CE135</f>
        <v>No Prog ni Ejec</v>
      </c>
      <c r="L288" s="476" t="s">
        <v>204</v>
      </c>
      <c r="M288" s="476">
        <f>+'Plan de Accion apoyo transversa'!AX135</f>
        <v>0</v>
      </c>
      <c r="N288" s="476">
        <f t="shared" si="258"/>
        <v>0</v>
      </c>
      <c r="O288" s="478" t="s">
        <v>204</v>
      </c>
      <c r="P288" s="213"/>
      <c r="Q288" s="214">
        <f>+'Plan de Accion apoyo transversa'!BD135</f>
        <v>0</v>
      </c>
      <c r="R288" s="248" t="str">
        <f>+'Plan de Accion apoyo transversa'!CG135</f>
        <v>No Prog ni Ejec</v>
      </c>
      <c r="S288" s="212" t="s">
        <v>204</v>
      </c>
      <c r="T288" s="304">
        <f>+'Plan de Accion apoyo transversa'!BH135</f>
        <v>0</v>
      </c>
      <c r="U288" s="304">
        <f t="shared" si="281"/>
        <v>0</v>
      </c>
      <c r="V288" s="211" t="s">
        <v>204</v>
      </c>
      <c r="W288" s="213"/>
      <c r="X288" s="214">
        <f>+'Plan de Accion apoyo transversa'!BN135</f>
        <v>0</v>
      </c>
      <c r="Y288" s="248" t="str">
        <f>+'Plan de Accion apoyo transversa'!CI135</f>
        <v>No Prog ni Ejec</v>
      </c>
      <c r="Z288" s="212" t="s">
        <v>204</v>
      </c>
      <c r="AA288" s="217">
        <f>+'Plan de Accion apoyo transversa'!BR135</f>
        <v>0</v>
      </c>
      <c r="AB288" s="217">
        <f t="shared" si="279"/>
        <v>0</v>
      </c>
      <c r="AC288" s="216" t="s">
        <v>204</v>
      </c>
      <c r="AD288" s="213"/>
      <c r="AE288" s="214">
        <f>+'Plan de Accion apoyo transversa'!BX135</f>
        <v>1</v>
      </c>
      <c r="AF288" s="248">
        <f>+'Plan de Accion apoyo transversa'!CK135</f>
        <v>1</v>
      </c>
      <c r="AG288" s="212">
        <f>IF(AF288&gt;100%,100%,AF288)</f>
        <v>1</v>
      </c>
      <c r="AH288" s="248">
        <f>+'Plan de Accion apoyo transversa'!CB135</f>
        <v>1</v>
      </c>
      <c r="AI288" s="211">
        <f t="shared" si="283"/>
        <v>1</v>
      </c>
      <c r="AJ288" s="221"/>
      <c r="AL288" s="311"/>
      <c r="AM288" s="222"/>
      <c r="AN288" s="204"/>
      <c r="AO288" s="311"/>
      <c r="AP288" s="222"/>
      <c r="AQ288" s="204"/>
      <c r="AR288" s="311"/>
      <c r="AS288" s="222"/>
      <c r="AT288" s="204"/>
      <c r="AU288" s="311"/>
      <c r="AV288" s="222"/>
      <c r="AW288" s="202"/>
      <c r="AX288" s="221"/>
      <c r="AZ288" s="311"/>
      <c r="BA288" s="222"/>
      <c r="BB288" s="204"/>
      <c r="BC288" s="311"/>
      <c r="BD288" s="222"/>
      <c r="BE288" s="204"/>
      <c r="BF288" s="311"/>
      <c r="BG288" s="222"/>
      <c r="BH288" s="204"/>
      <c r="BI288" s="311"/>
      <c r="BJ288" s="222"/>
      <c r="BK288" s="202"/>
      <c r="BL288" s="221"/>
      <c r="BN288" s="311"/>
      <c r="BO288" s="222"/>
      <c r="BP288" s="204"/>
      <c r="BQ288" s="311"/>
      <c r="BR288" s="222"/>
      <c r="BS288" s="204"/>
      <c r="BT288" s="311"/>
      <c r="BU288" s="222"/>
      <c r="BV288" s="204"/>
      <c r="BW288" s="311"/>
      <c r="BX288" s="222"/>
      <c r="BY288" s="202"/>
      <c r="BZ288" s="221"/>
      <c r="CB288" s="311"/>
      <c r="CC288" s="222"/>
      <c r="CD288" s="204"/>
      <c r="CE288" s="311"/>
      <c r="CF288" s="222"/>
      <c r="CG288" s="204"/>
      <c r="CH288" s="311"/>
      <c r="CI288" s="222"/>
      <c r="CJ288" s="204"/>
      <c r="CK288" s="311"/>
      <c r="CL288" s="222"/>
      <c r="CM288" s="202"/>
      <c r="CN288" s="221"/>
    </row>
    <row r="289" spans="2:92" ht="72" thickBot="1" x14ac:dyDescent="0.25">
      <c r="B289" s="1469"/>
      <c r="C289" s="1551"/>
      <c r="D289" s="1443"/>
      <c r="E289" s="1440"/>
      <c r="F289" s="1443"/>
      <c r="G289" s="315" t="str">
        <f>+'Plan de Accion apoyo transversa'!X136</f>
        <v>Informe sobre servicios técnicos para realizar análisis de vulnerabilidades, ethical Hacking y pruebas de Ingeniería Social adquiridos</v>
      </c>
      <c r="H289" s="215" t="str">
        <f>+'Plan de Accion apoyo transversa'!AK136</f>
        <v># Informes sobre servicios técnicos para realizar análisis de vulnerabilidades, Ethical Hacking y pruebas de Ingeniería Social adquiridos</v>
      </c>
      <c r="J289" s="218">
        <f>+'Plan de Accion apoyo transversa'!AT136</f>
        <v>0</v>
      </c>
      <c r="K289" s="476" t="str">
        <f>+'Plan de Accion apoyo transversa'!CE136</f>
        <v>No Prog ni Ejec</v>
      </c>
      <c r="L289" s="476" t="s">
        <v>204</v>
      </c>
      <c r="M289" s="476">
        <f>+'Plan de Accion apoyo transversa'!AX136</f>
        <v>0</v>
      </c>
      <c r="N289" s="476">
        <f t="shared" si="258"/>
        <v>0</v>
      </c>
      <c r="O289" s="478" t="s">
        <v>204</v>
      </c>
      <c r="P289" s="213"/>
      <c r="Q289" s="218">
        <f>+'Plan de Accion apoyo transversa'!BD136</f>
        <v>0</v>
      </c>
      <c r="R289" s="248" t="str">
        <f>+'Plan de Accion apoyo transversa'!CG136</f>
        <v>No Prog ni Ejec</v>
      </c>
      <c r="S289" s="212" t="s">
        <v>204</v>
      </c>
      <c r="T289" s="304" t="s">
        <v>204</v>
      </c>
      <c r="U289" s="304" t="s">
        <v>204</v>
      </c>
      <c r="V289" s="211" t="s">
        <v>204</v>
      </c>
      <c r="W289" s="213"/>
      <c r="X289" s="218">
        <f>+'Plan de Accion apoyo transversa'!BN136</f>
        <v>0</v>
      </c>
      <c r="Y289" s="248" t="str">
        <f>+'Plan de Accion apoyo transversa'!CI136</f>
        <v>No Prog ni Ejec</v>
      </c>
      <c r="Z289" s="212" t="s">
        <v>204</v>
      </c>
      <c r="AA289" s="217" t="s">
        <v>204</v>
      </c>
      <c r="AB289" s="217" t="s">
        <v>204</v>
      </c>
      <c r="AC289" s="216" t="s">
        <v>204</v>
      </c>
      <c r="AD289" s="213"/>
      <c r="AE289" s="218" t="s">
        <v>204</v>
      </c>
      <c r="AF289" s="248" t="s">
        <v>180</v>
      </c>
      <c r="AG289" s="212" t="s">
        <v>204</v>
      </c>
      <c r="AH289" s="248" t="s">
        <v>204</v>
      </c>
      <c r="AI289" s="211" t="s">
        <v>204</v>
      </c>
      <c r="AJ289" s="221"/>
      <c r="AL289" s="311"/>
      <c r="AM289" s="222"/>
      <c r="AN289" s="204"/>
      <c r="AO289" s="311"/>
      <c r="AP289" s="222"/>
      <c r="AQ289" s="204"/>
      <c r="AR289" s="311"/>
      <c r="AS289" s="222"/>
      <c r="AT289" s="204"/>
      <c r="AU289" s="311"/>
      <c r="AV289" s="222"/>
      <c r="AW289" s="202"/>
      <c r="AX289" s="221"/>
      <c r="AZ289" s="311"/>
      <c r="BA289" s="222"/>
      <c r="BB289" s="204"/>
      <c r="BC289" s="311"/>
      <c r="BD289" s="222"/>
      <c r="BE289" s="204"/>
      <c r="BF289" s="311"/>
      <c r="BG289" s="222"/>
      <c r="BH289" s="204"/>
      <c r="BI289" s="311"/>
      <c r="BJ289" s="222"/>
      <c r="BK289" s="202"/>
      <c r="BL289" s="221"/>
      <c r="BN289" s="311"/>
      <c r="BO289" s="222"/>
      <c r="BP289" s="204"/>
      <c r="BQ289" s="311"/>
      <c r="BR289" s="222"/>
      <c r="BS289" s="204"/>
      <c r="BT289" s="311"/>
      <c r="BU289" s="222"/>
      <c r="BV289" s="204"/>
      <c r="BW289" s="311"/>
      <c r="BX289" s="222"/>
      <c r="BY289" s="202"/>
      <c r="BZ289" s="221"/>
      <c r="CB289" s="311"/>
      <c r="CC289" s="222"/>
      <c r="CD289" s="204"/>
      <c r="CE289" s="311"/>
      <c r="CF289" s="222"/>
      <c r="CG289" s="204"/>
      <c r="CH289" s="311"/>
      <c r="CI289" s="222"/>
      <c r="CJ289" s="204"/>
      <c r="CK289" s="311"/>
      <c r="CL289" s="222"/>
      <c r="CM289" s="202"/>
      <c r="CN289" s="221"/>
    </row>
    <row r="290" spans="2:92" ht="57.75" thickBot="1" x14ac:dyDescent="0.25">
      <c r="B290" s="1469"/>
      <c r="C290" s="1551"/>
      <c r="D290" s="1443"/>
      <c r="E290" s="1440"/>
      <c r="F290" s="1443"/>
      <c r="G290" s="479" t="str">
        <f>+'Plan de Accion apoyo transversa'!X180</f>
        <v>Autodiagnóstico frente al cumplimiento del Régimen de protección de datos personales</v>
      </c>
      <c r="H290" s="215" t="str">
        <f>+'Plan de Accion apoyo transversa'!AK180</f>
        <v># Autodiagnósticos de Ley de Protección de Datos - LPD realizados</v>
      </c>
      <c r="J290" s="218">
        <f>+'Plan de Accion apoyo transversa'!AT180</f>
        <v>1</v>
      </c>
      <c r="K290" s="476">
        <f>+'Plan de Accion apoyo transversa'!CE180</f>
        <v>1</v>
      </c>
      <c r="L290" s="476">
        <f>IF(K290&gt;100%,100%,K290)</f>
        <v>1</v>
      </c>
      <c r="M290" s="476">
        <f>+'Plan de Accion apoyo transversa'!AX180</f>
        <v>1</v>
      </c>
      <c r="N290" s="476">
        <f>IF(M290&gt;100%,100%,M290)</f>
        <v>1</v>
      </c>
      <c r="O290" s="478">
        <f>+N290</f>
        <v>1</v>
      </c>
      <c r="P290" s="213"/>
      <c r="Q290" s="218">
        <f>+'Plan de Accion apoyo transversa'!BD180</f>
        <v>0</v>
      </c>
      <c r="R290" s="248" t="str">
        <f>+'Plan de Accion apoyo transversa'!CG180</f>
        <v>No Prog ni Ejec</v>
      </c>
      <c r="S290" s="212" t="s">
        <v>204</v>
      </c>
      <c r="T290" s="476">
        <f>+'Plan de Accion apoyo transversa'!BH180</f>
        <v>1</v>
      </c>
      <c r="U290" s="476">
        <f t="shared" si="281"/>
        <v>1</v>
      </c>
      <c r="V290" s="211">
        <f t="shared" ref="V290:V295" si="292">+U290</f>
        <v>1</v>
      </c>
      <c r="W290" s="213"/>
      <c r="X290" s="218">
        <f>+'Plan de Accion apoyo transversa'!BN180</f>
        <v>0</v>
      </c>
      <c r="Y290" s="248" t="str">
        <f>+'Plan de Accion apoyo transversa'!CI180</f>
        <v>No Prog ni Ejec</v>
      </c>
      <c r="Z290" s="212" t="s">
        <v>204</v>
      </c>
      <c r="AA290" s="217">
        <f>+'Plan de Accion apoyo transversa'!BR180</f>
        <v>1</v>
      </c>
      <c r="AB290" s="217">
        <f>IF(AA290&gt;100%,100%,AA290)</f>
        <v>1</v>
      </c>
      <c r="AC290" s="216">
        <f t="shared" ref="AC290:AC295" si="293">+AB290</f>
        <v>1</v>
      </c>
      <c r="AD290" s="213"/>
      <c r="AE290" s="218">
        <f>+'Plan de Accion apoyo transversa'!BX180</f>
        <v>0</v>
      </c>
      <c r="AF290" s="248" t="str">
        <f>+'Plan de Accion apoyo transversa'!CK180</f>
        <v>No Prog ni Ejec</v>
      </c>
      <c r="AG290" s="212" t="s">
        <v>204</v>
      </c>
      <c r="AH290" s="248">
        <f>+'Plan de Accion apoyo transversa'!CB180</f>
        <v>1</v>
      </c>
      <c r="AI290" s="211">
        <f t="shared" si="283"/>
        <v>1</v>
      </c>
      <c r="AJ290" s="221"/>
      <c r="AL290" s="481"/>
      <c r="AM290" s="222"/>
      <c r="AN290" s="204"/>
      <c r="AO290" s="481"/>
      <c r="AP290" s="222"/>
      <c r="AQ290" s="204"/>
      <c r="AR290" s="481"/>
      <c r="AS290" s="222"/>
      <c r="AT290" s="204"/>
      <c r="AU290" s="481"/>
      <c r="AV290" s="222"/>
      <c r="AW290" s="202"/>
      <c r="AX290" s="221"/>
      <c r="AZ290" s="481"/>
      <c r="BA290" s="222"/>
      <c r="BB290" s="204"/>
      <c r="BC290" s="481"/>
      <c r="BD290" s="222"/>
      <c r="BE290" s="204"/>
      <c r="BF290" s="481"/>
      <c r="BG290" s="222"/>
      <c r="BH290" s="204"/>
      <c r="BI290" s="481"/>
      <c r="BJ290" s="222"/>
      <c r="BK290" s="202"/>
      <c r="BL290" s="221"/>
      <c r="BN290" s="481"/>
      <c r="BO290" s="222"/>
      <c r="BP290" s="204"/>
      <c r="BQ290" s="481"/>
      <c r="BR290" s="222"/>
      <c r="BS290" s="204"/>
      <c r="BT290" s="481"/>
      <c r="BU290" s="222"/>
      <c r="BV290" s="204"/>
      <c r="BW290" s="481"/>
      <c r="BX290" s="222"/>
      <c r="BY290" s="202"/>
      <c r="BZ290" s="221"/>
      <c r="CB290" s="481"/>
      <c r="CC290" s="222"/>
      <c r="CD290" s="204"/>
      <c r="CE290" s="481"/>
      <c r="CF290" s="222"/>
      <c r="CG290" s="204"/>
      <c r="CH290" s="481"/>
      <c r="CI290" s="222"/>
      <c r="CJ290" s="204"/>
      <c r="CK290" s="481"/>
      <c r="CL290" s="222"/>
      <c r="CM290" s="202"/>
      <c r="CN290" s="221"/>
    </row>
    <row r="291" spans="2:92" ht="43.5" thickBot="1" x14ac:dyDescent="0.25">
      <c r="B291" s="1469"/>
      <c r="C291" s="1551"/>
      <c r="D291" s="1443"/>
      <c r="E291" s="1440"/>
      <c r="F291" s="1444"/>
      <c r="G291" s="315" t="str">
        <f>+'Plan de Accion apoyo transversa'!X137</f>
        <v>Vulnerabilidades resueltas del ejercicio de ethical hacking del año anterior</v>
      </c>
      <c r="H291" s="215" t="str">
        <f>+'Plan de Accion apoyo transversa'!AK137</f>
        <v># Vulnerabilidades resueltas / # vulnerabilidades identificadas</v>
      </c>
      <c r="J291" s="214">
        <f>+'Plan de Accion apoyo transversa'!AT137</f>
        <v>0.2</v>
      </c>
      <c r="K291" s="476">
        <f>+'Plan de Accion apoyo transversa'!CE137</f>
        <v>1</v>
      </c>
      <c r="L291" s="476">
        <f>IF(K291&gt;100%,100%,K291)</f>
        <v>1</v>
      </c>
      <c r="M291" s="476">
        <f>+'Plan de Accion apoyo transversa'!AX137</f>
        <v>0.25</v>
      </c>
      <c r="N291" s="476">
        <f t="shared" si="258"/>
        <v>0.25</v>
      </c>
      <c r="O291" s="478">
        <f>+N291</f>
        <v>0.25</v>
      </c>
      <c r="P291" s="213"/>
      <c r="Q291" s="214">
        <f>+'Plan de Accion apoyo transversa'!BD137</f>
        <v>0</v>
      </c>
      <c r="R291" s="248" t="s">
        <v>180</v>
      </c>
      <c r="S291" s="212" t="s">
        <v>204</v>
      </c>
      <c r="T291" s="304">
        <f>+'Plan de Accion apoyo transversa'!BH137</f>
        <v>0.25</v>
      </c>
      <c r="U291" s="304">
        <f t="shared" si="281"/>
        <v>0.25</v>
      </c>
      <c r="V291" s="211">
        <f t="shared" si="292"/>
        <v>0.25</v>
      </c>
      <c r="W291" s="213"/>
      <c r="X291" s="214">
        <f>+'Plan de Accion apoyo transversa'!BN137</f>
        <v>0</v>
      </c>
      <c r="Y291" s="248" t="s">
        <v>180</v>
      </c>
      <c r="Z291" s="212" t="s">
        <v>204</v>
      </c>
      <c r="AA291" s="217">
        <f>+'Plan de Accion apoyo transversa'!BR137</f>
        <v>0.25</v>
      </c>
      <c r="AB291" s="217">
        <f t="shared" si="279"/>
        <v>0.25</v>
      </c>
      <c r="AC291" s="216">
        <f t="shared" si="293"/>
        <v>0.25</v>
      </c>
      <c r="AD291" s="213"/>
      <c r="AE291" s="214">
        <f>+'Plan de Accion apoyo transversa'!BX137</f>
        <v>0</v>
      </c>
      <c r="AF291" s="248" t="s">
        <v>180</v>
      </c>
      <c r="AG291" s="212" t="s">
        <v>204</v>
      </c>
      <c r="AH291" s="248">
        <f>+'Plan de Accion apoyo transversa'!CB137</f>
        <v>0.25</v>
      </c>
      <c r="AI291" s="211">
        <f t="shared" si="283"/>
        <v>0.25</v>
      </c>
      <c r="AJ291" s="221"/>
      <c r="AL291" s="311"/>
      <c r="AM291" s="222"/>
      <c r="AN291" s="204"/>
      <c r="AO291" s="311"/>
      <c r="AP291" s="222"/>
      <c r="AQ291" s="204"/>
      <c r="AR291" s="311"/>
      <c r="AS291" s="222"/>
      <c r="AT291" s="204"/>
      <c r="AU291" s="311"/>
      <c r="AV291" s="222"/>
      <c r="AW291" s="202"/>
      <c r="AX291" s="221"/>
      <c r="AZ291" s="311"/>
      <c r="BA291" s="222"/>
      <c r="BB291" s="204"/>
      <c r="BC291" s="311"/>
      <c r="BD291" s="222"/>
      <c r="BE291" s="204"/>
      <c r="BF291" s="311"/>
      <c r="BG291" s="222"/>
      <c r="BH291" s="204"/>
      <c r="BI291" s="311"/>
      <c r="BJ291" s="222"/>
      <c r="BK291" s="202"/>
      <c r="BL291" s="221"/>
      <c r="BN291" s="311"/>
      <c r="BO291" s="222"/>
      <c r="BP291" s="204"/>
      <c r="BQ291" s="311"/>
      <c r="BR291" s="222"/>
      <c r="BS291" s="204"/>
      <c r="BT291" s="311"/>
      <c r="BU291" s="222"/>
      <c r="BV291" s="204"/>
      <c r="BW291" s="311"/>
      <c r="BX291" s="222"/>
      <c r="BY291" s="202"/>
      <c r="BZ291" s="221"/>
      <c r="CB291" s="311"/>
      <c r="CC291" s="222"/>
      <c r="CD291" s="204"/>
      <c r="CE291" s="311"/>
      <c r="CF291" s="222"/>
      <c r="CG291" s="204"/>
      <c r="CH291" s="311"/>
      <c r="CI291" s="222"/>
      <c r="CJ291" s="204"/>
      <c r="CK291" s="311"/>
      <c r="CL291" s="222"/>
      <c r="CM291" s="202"/>
      <c r="CN291" s="221"/>
    </row>
    <row r="292" spans="2:92" ht="43.5" thickBot="1" x14ac:dyDescent="0.25">
      <c r="B292" s="1469"/>
      <c r="C292" s="1551"/>
      <c r="D292" s="1443"/>
      <c r="E292" s="1440"/>
      <c r="F292" s="1442" t="s">
        <v>332</v>
      </c>
      <c r="G292" s="315" t="str">
        <f>+'Plan de Accion apoyo transversa'!X146</f>
        <v>Autodiagnóstico del Modelo de Seguridad y Privacidad Revisado</v>
      </c>
      <c r="H292" s="215" t="str">
        <f>+'Plan de Accion apoyo transversa'!AK146</f>
        <v xml:space="preserve"># Autodiagnósticos realizados </v>
      </c>
      <c r="J292" s="218">
        <f>+'Plan de Accion apoyo transversa'!AT146</f>
        <v>0</v>
      </c>
      <c r="K292" s="476" t="str">
        <f>+'Plan de Accion apoyo transversa'!CE146</f>
        <v>No Prog ni Ejec</v>
      </c>
      <c r="L292" s="476" t="s">
        <v>204</v>
      </c>
      <c r="M292" s="476">
        <f>+'Plan de Accion apoyo transversa'!AX146</f>
        <v>0</v>
      </c>
      <c r="N292" s="476">
        <f t="shared" si="258"/>
        <v>0</v>
      </c>
      <c r="O292" s="478" t="s">
        <v>204</v>
      </c>
      <c r="P292" s="213"/>
      <c r="Q292" s="218">
        <f>+'Plan de Accion apoyo transversa'!BD146</f>
        <v>1</v>
      </c>
      <c r="R292" s="248">
        <f>+'Plan de Accion apoyo transversa'!CG146</f>
        <v>1</v>
      </c>
      <c r="S292" s="212">
        <f>IF(R292&gt;100%,100%,R292)</f>
        <v>1</v>
      </c>
      <c r="T292" s="304">
        <f>+'Plan de Accion apoyo transversa'!BH146</f>
        <v>0.5</v>
      </c>
      <c r="U292" s="304">
        <f t="shared" si="281"/>
        <v>0.5</v>
      </c>
      <c r="V292" s="211">
        <f t="shared" si="292"/>
        <v>0.5</v>
      </c>
      <c r="W292" s="213"/>
      <c r="X292" s="218">
        <f>+'Plan de Accion apoyo transversa'!BN146</f>
        <v>0</v>
      </c>
      <c r="Y292" s="248" t="str">
        <f>+'Plan de Accion apoyo transversa'!CI146</f>
        <v>No Prog ni Ejec</v>
      </c>
      <c r="Z292" s="212" t="s">
        <v>204</v>
      </c>
      <c r="AA292" s="217">
        <f>+'Plan de Accion apoyo transversa'!BR146</f>
        <v>0.5</v>
      </c>
      <c r="AB292" s="217">
        <f t="shared" si="279"/>
        <v>0.5</v>
      </c>
      <c r="AC292" s="216">
        <f t="shared" si="293"/>
        <v>0.5</v>
      </c>
      <c r="AD292" s="213"/>
      <c r="AE292" s="218">
        <f>+'Plan de Accion apoyo transversa'!BX146</f>
        <v>1</v>
      </c>
      <c r="AF292" s="248">
        <f>+'Plan de Accion apoyo transversa'!CK146</f>
        <v>1</v>
      </c>
      <c r="AG292" s="212">
        <f>IF(AF292&gt;100%,100%,AF292)</f>
        <v>1</v>
      </c>
      <c r="AH292" s="248">
        <f>+'Plan de Accion apoyo transversa'!CB146</f>
        <v>1</v>
      </c>
      <c r="AI292" s="211">
        <f t="shared" si="283"/>
        <v>1</v>
      </c>
      <c r="AJ292" s="221"/>
      <c r="AL292" s="311"/>
      <c r="AM292" s="222"/>
      <c r="AN292" s="204"/>
      <c r="AO292" s="311"/>
      <c r="AP292" s="222"/>
      <c r="AQ292" s="204"/>
      <c r="AR292" s="311"/>
      <c r="AS292" s="222"/>
      <c r="AT292" s="204"/>
      <c r="AU292" s="311"/>
      <c r="AV292" s="222"/>
      <c r="AW292" s="202"/>
      <c r="AX292" s="221"/>
      <c r="AZ292" s="311"/>
      <c r="BA292" s="222"/>
      <c r="BB292" s="204"/>
      <c r="BC292" s="311"/>
      <c r="BD292" s="222"/>
      <c r="BE292" s="204"/>
      <c r="BF292" s="311"/>
      <c r="BG292" s="222"/>
      <c r="BH292" s="204"/>
      <c r="BI292" s="311"/>
      <c r="BJ292" s="222"/>
      <c r="BK292" s="202"/>
      <c r="BL292" s="221"/>
      <c r="BN292" s="311"/>
      <c r="BO292" s="222"/>
      <c r="BP292" s="204"/>
      <c r="BQ292" s="311"/>
      <c r="BR292" s="222"/>
      <c r="BS292" s="204"/>
      <c r="BT292" s="311"/>
      <c r="BU292" s="222"/>
      <c r="BV292" s="204"/>
      <c r="BW292" s="311"/>
      <c r="BX292" s="222"/>
      <c r="BY292" s="202"/>
      <c r="BZ292" s="221"/>
      <c r="CB292" s="311"/>
      <c r="CC292" s="222"/>
      <c r="CD292" s="204"/>
      <c r="CE292" s="311"/>
      <c r="CF292" s="222"/>
      <c r="CG292" s="204"/>
      <c r="CH292" s="311"/>
      <c r="CI292" s="222"/>
      <c r="CJ292" s="204"/>
      <c r="CK292" s="311"/>
      <c r="CL292" s="222"/>
      <c r="CM292" s="202"/>
      <c r="CN292" s="221"/>
    </row>
    <row r="293" spans="2:92" ht="43.5" thickBot="1" x14ac:dyDescent="0.25">
      <c r="B293" s="1469"/>
      <c r="C293" s="1551"/>
      <c r="D293" s="1443"/>
      <c r="E293" s="1440"/>
      <c r="F293" s="1443"/>
      <c r="G293" s="315" t="str">
        <f>+'Plan de Accion apoyo transversa'!X147</f>
        <v>Políticas General y Específicas de Seguridad y Privacidad de la Información</v>
      </c>
      <c r="H293" s="215" t="str">
        <f>+'Plan de Accion apoyo transversa'!AK147</f>
        <v># Políticas aprobadas mediante acto administrativo o equivalente</v>
      </c>
      <c r="J293" s="218">
        <f>+'Plan de Accion apoyo transversa'!AT147</f>
        <v>2</v>
      </c>
      <c r="K293" s="476">
        <f>+'Plan de Accion apoyo transversa'!CE147</f>
        <v>1</v>
      </c>
      <c r="L293" s="476">
        <f>IF(K293&gt;100%,100%,K293)</f>
        <v>1</v>
      </c>
      <c r="M293" s="476">
        <f>+'Plan de Accion apoyo transversa'!AX147</f>
        <v>1</v>
      </c>
      <c r="N293" s="476">
        <f t="shared" si="258"/>
        <v>1</v>
      </c>
      <c r="O293" s="478">
        <f>+N293</f>
        <v>1</v>
      </c>
      <c r="P293" s="213"/>
      <c r="Q293" s="218">
        <f>+'Plan de Accion apoyo transversa'!BD147</f>
        <v>0</v>
      </c>
      <c r="R293" s="248" t="str">
        <f>+'Plan de Accion apoyo transversa'!CG147</f>
        <v>No Prog ni Ejec</v>
      </c>
      <c r="S293" s="212" t="s">
        <v>204</v>
      </c>
      <c r="T293" s="304">
        <f>+'Plan de Accion apoyo transversa'!BH147</f>
        <v>1</v>
      </c>
      <c r="U293" s="304">
        <f t="shared" si="281"/>
        <v>1</v>
      </c>
      <c r="V293" s="211">
        <f t="shared" si="292"/>
        <v>1</v>
      </c>
      <c r="W293" s="213"/>
      <c r="X293" s="218">
        <f>+'Plan de Accion apoyo transversa'!BN147</f>
        <v>0</v>
      </c>
      <c r="Y293" s="248" t="str">
        <f>+'Plan de Accion apoyo transversa'!CI147</f>
        <v>No Prog ni Ejec</v>
      </c>
      <c r="Z293" s="212" t="s">
        <v>204</v>
      </c>
      <c r="AA293" s="217">
        <f>+'Plan de Accion apoyo transversa'!BR147</f>
        <v>1</v>
      </c>
      <c r="AB293" s="217">
        <f t="shared" si="279"/>
        <v>1</v>
      </c>
      <c r="AC293" s="216">
        <f t="shared" si="293"/>
        <v>1</v>
      </c>
      <c r="AD293" s="213"/>
      <c r="AE293" s="218">
        <f>+'Plan de Accion apoyo transversa'!BX147</f>
        <v>0</v>
      </c>
      <c r="AF293" s="248" t="str">
        <f>+'Plan de Accion apoyo transversa'!CK147</f>
        <v>No Prog ni Ejec</v>
      </c>
      <c r="AG293" s="212" t="s">
        <v>204</v>
      </c>
      <c r="AH293" s="248">
        <f>+'Plan de Accion apoyo transversa'!CB147</f>
        <v>1</v>
      </c>
      <c r="AI293" s="211">
        <f t="shared" si="283"/>
        <v>1</v>
      </c>
      <c r="AJ293" s="221"/>
      <c r="AL293" s="311"/>
      <c r="AM293" s="222"/>
      <c r="AN293" s="204"/>
      <c r="AO293" s="311"/>
      <c r="AP293" s="222"/>
      <c r="AQ293" s="204"/>
      <c r="AR293" s="311"/>
      <c r="AS293" s="222"/>
      <c r="AT293" s="204"/>
      <c r="AU293" s="311"/>
      <c r="AV293" s="222"/>
      <c r="AW293" s="202"/>
      <c r="AX293" s="221"/>
      <c r="AZ293" s="311"/>
      <c r="BA293" s="222"/>
      <c r="BB293" s="204"/>
      <c r="BC293" s="311"/>
      <c r="BD293" s="222"/>
      <c r="BE293" s="204"/>
      <c r="BF293" s="311"/>
      <c r="BG293" s="222"/>
      <c r="BH293" s="204"/>
      <c r="BI293" s="311"/>
      <c r="BJ293" s="222"/>
      <c r="BK293" s="202"/>
      <c r="BL293" s="221"/>
      <c r="BN293" s="311"/>
      <c r="BO293" s="222"/>
      <c r="BP293" s="204"/>
      <c r="BQ293" s="311"/>
      <c r="BR293" s="222"/>
      <c r="BS293" s="204"/>
      <c r="BT293" s="311"/>
      <c r="BU293" s="222"/>
      <c r="BV293" s="204"/>
      <c r="BW293" s="311"/>
      <c r="BX293" s="222"/>
      <c r="BY293" s="202"/>
      <c r="BZ293" s="221"/>
      <c r="CB293" s="311"/>
      <c r="CC293" s="222"/>
      <c r="CD293" s="204"/>
      <c r="CE293" s="311"/>
      <c r="CF293" s="222"/>
      <c r="CG293" s="204"/>
      <c r="CH293" s="311"/>
      <c r="CI293" s="222"/>
      <c r="CJ293" s="204"/>
      <c r="CK293" s="311"/>
      <c r="CL293" s="222"/>
      <c r="CM293" s="202"/>
      <c r="CN293" s="221"/>
    </row>
    <row r="294" spans="2:92" ht="43.5" thickBot="1" x14ac:dyDescent="0.25">
      <c r="B294" s="1469"/>
      <c r="C294" s="1551"/>
      <c r="D294" s="1443"/>
      <c r="E294" s="1440"/>
      <c r="F294" s="1443"/>
      <c r="G294" s="315" t="str">
        <f>+'Plan de Accion apoyo transversa'!X148</f>
        <v>Inventario y registro de activos de información actualizados</v>
      </c>
      <c r="H294" s="215" t="str">
        <f>+'Plan de Accion apoyo transversa'!AK148</f>
        <v xml:space="preserve"> # Matrices de inventario y registro de activos de información actualizados </v>
      </c>
      <c r="J294" s="218">
        <f>+'Plan de Accion apoyo transversa'!AT148</f>
        <v>0</v>
      </c>
      <c r="K294" s="476" t="str">
        <f>+'Plan de Accion apoyo transversa'!CE148</f>
        <v>No Prog ni Ejec</v>
      </c>
      <c r="L294" s="476" t="s">
        <v>204</v>
      </c>
      <c r="M294" s="476">
        <f>+'Plan de Accion apoyo transversa'!AX148</f>
        <v>0</v>
      </c>
      <c r="N294" s="476">
        <f t="shared" si="258"/>
        <v>0</v>
      </c>
      <c r="O294" s="478" t="s">
        <v>204</v>
      </c>
      <c r="P294" s="213"/>
      <c r="Q294" s="218">
        <f>+'Plan de Accion apoyo transversa'!BD148</f>
        <v>1</v>
      </c>
      <c r="R294" s="248">
        <f>+'Plan de Accion apoyo transversa'!CG148</f>
        <v>1</v>
      </c>
      <c r="S294" s="212">
        <f>IF(R294&gt;100%,100%,R294)</f>
        <v>1</v>
      </c>
      <c r="T294" s="304">
        <f>+'Plan de Accion apoyo transversa'!BH148</f>
        <v>0.5</v>
      </c>
      <c r="U294" s="304">
        <f t="shared" si="281"/>
        <v>0.5</v>
      </c>
      <c r="V294" s="211">
        <f t="shared" si="292"/>
        <v>0.5</v>
      </c>
      <c r="W294" s="213"/>
      <c r="X294" s="218">
        <f>+'Plan de Accion apoyo transversa'!BN148</f>
        <v>0</v>
      </c>
      <c r="Y294" s="248" t="str">
        <f>+'Plan de Accion apoyo transversa'!CI148</f>
        <v>No Prog ni Ejec</v>
      </c>
      <c r="Z294" s="212" t="s">
        <v>204</v>
      </c>
      <c r="AA294" s="217">
        <f>+'Plan de Accion apoyo transversa'!BR148</f>
        <v>0.5</v>
      </c>
      <c r="AB294" s="217">
        <f t="shared" si="279"/>
        <v>0.5</v>
      </c>
      <c r="AC294" s="216">
        <f t="shared" si="293"/>
        <v>0.5</v>
      </c>
      <c r="AD294" s="213"/>
      <c r="AE294" s="218">
        <f>+'Plan de Accion apoyo transversa'!BX148</f>
        <v>1</v>
      </c>
      <c r="AF294" s="248">
        <f>+'Plan de Accion apoyo transversa'!CK148</f>
        <v>1</v>
      </c>
      <c r="AG294" s="212">
        <f t="shared" ref="AG294:AG298" si="294">IF(AF294&gt;100%,100%,AF294)</f>
        <v>1</v>
      </c>
      <c r="AH294" s="248">
        <f>+'Plan de Accion apoyo transversa'!CB148</f>
        <v>1</v>
      </c>
      <c r="AI294" s="211">
        <f t="shared" si="283"/>
        <v>1</v>
      </c>
      <c r="AJ294" s="221"/>
      <c r="AL294" s="311"/>
      <c r="AM294" s="222"/>
      <c r="AN294" s="204"/>
      <c r="AO294" s="311"/>
      <c r="AP294" s="222"/>
      <c r="AQ294" s="204"/>
      <c r="AR294" s="311"/>
      <c r="AS294" s="222"/>
      <c r="AT294" s="204"/>
      <c r="AU294" s="311"/>
      <c r="AV294" s="222"/>
      <c r="AW294" s="202"/>
      <c r="AX294" s="221"/>
      <c r="AZ294" s="311"/>
      <c r="BA294" s="222"/>
      <c r="BB294" s="204"/>
      <c r="BC294" s="311"/>
      <c r="BD294" s="222"/>
      <c r="BE294" s="204"/>
      <c r="BF294" s="311"/>
      <c r="BG294" s="222"/>
      <c r="BH294" s="204"/>
      <c r="BI294" s="311"/>
      <c r="BJ294" s="222"/>
      <c r="BK294" s="202"/>
      <c r="BL294" s="221"/>
      <c r="BN294" s="311"/>
      <c r="BO294" s="222"/>
      <c r="BP294" s="204"/>
      <c r="BQ294" s="311"/>
      <c r="BR294" s="222"/>
      <c r="BS294" s="204"/>
      <c r="BT294" s="311"/>
      <c r="BU294" s="222"/>
      <c r="BV294" s="204"/>
      <c r="BW294" s="311"/>
      <c r="BX294" s="222"/>
      <c r="BY294" s="202"/>
      <c r="BZ294" s="221"/>
      <c r="CB294" s="311"/>
      <c r="CC294" s="222"/>
      <c r="CD294" s="204"/>
      <c r="CE294" s="311"/>
      <c r="CF294" s="222"/>
      <c r="CG294" s="204"/>
      <c r="CH294" s="311"/>
      <c r="CI294" s="222"/>
      <c r="CJ294" s="204"/>
      <c r="CK294" s="311"/>
      <c r="CL294" s="222"/>
      <c r="CM294" s="202"/>
      <c r="CN294" s="221"/>
    </row>
    <row r="295" spans="2:92" ht="43.5" thickBot="1" x14ac:dyDescent="0.25">
      <c r="B295" s="1469"/>
      <c r="C295" s="1551"/>
      <c r="D295" s="1443"/>
      <c r="E295" s="1440"/>
      <c r="F295" s="1444"/>
      <c r="G295" s="315" t="str">
        <f>+'Plan de Accion apoyo transversa'!X149</f>
        <v>Procedimientos relacionados con Seguridad de la Información</v>
      </c>
      <c r="H295" s="215" t="str">
        <f>+'Plan de Accion apoyo transversa'!AK149</f>
        <v xml:space="preserve"># Procedimientos aprobados </v>
      </c>
      <c r="J295" s="218">
        <f>+'Plan de Accion apoyo transversa'!AT149</f>
        <v>4</v>
      </c>
      <c r="K295" s="476">
        <f>+'Plan de Accion apoyo transversa'!CE149</f>
        <v>1</v>
      </c>
      <c r="L295" s="476">
        <f>IF(K295&gt;100%,100%,K295)</f>
        <v>1</v>
      </c>
      <c r="M295" s="476">
        <f>+'Plan de Accion apoyo transversa'!AX149</f>
        <v>0.21052631578947367</v>
      </c>
      <c r="N295" s="476">
        <f t="shared" si="258"/>
        <v>0.21052631578947367</v>
      </c>
      <c r="O295" s="478">
        <f>+N295</f>
        <v>0.21052631578947367</v>
      </c>
      <c r="P295" s="213"/>
      <c r="Q295" s="218">
        <f>+'Plan de Accion apoyo transversa'!BD149</f>
        <v>0</v>
      </c>
      <c r="R295" s="248" t="str">
        <f>+'Plan de Accion apoyo transversa'!CG149</f>
        <v>No Prog ni Ejec</v>
      </c>
      <c r="S295" s="212" t="s">
        <v>204</v>
      </c>
      <c r="T295" s="304">
        <f>+'Plan de Accion apoyo transversa'!BH149</f>
        <v>0.21052631578947367</v>
      </c>
      <c r="U295" s="304">
        <f t="shared" si="281"/>
        <v>0.21052631578947367</v>
      </c>
      <c r="V295" s="211">
        <f t="shared" si="292"/>
        <v>0.21052631578947367</v>
      </c>
      <c r="W295" s="213"/>
      <c r="X295" s="218">
        <f>+'Plan de Accion apoyo transversa'!BN149</f>
        <v>5</v>
      </c>
      <c r="Y295" s="248">
        <f>+'Plan de Accion apoyo transversa'!CI149</f>
        <v>1</v>
      </c>
      <c r="Z295" s="212">
        <f>IF(Y295&gt;100%,100%,Y295)</f>
        <v>1</v>
      </c>
      <c r="AA295" s="217">
        <f>+'Plan de Accion apoyo transversa'!BR149</f>
        <v>0.47368421052631576</v>
      </c>
      <c r="AB295" s="217">
        <f t="shared" si="279"/>
        <v>0.47368421052631576</v>
      </c>
      <c r="AC295" s="216">
        <f t="shared" si="293"/>
        <v>0.47368421052631576</v>
      </c>
      <c r="AD295" s="213"/>
      <c r="AE295" s="218">
        <f>+'Plan de Accion apoyo transversa'!BX149</f>
        <v>10</v>
      </c>
      <c r="AF295" s="248">
        <f>+'Plan de Accion apoyo transversa'!CK149</f>
        <v>1</v>
      </c>
      <c r="AG295" s="212">
        <f t="shared" si="294"/>
        <v>1</v>
      </c>
      <c r="AH295" s="248">
        <f>+'Plan de Accion apoyo transversa'!CB149</f>
        <v>1</v>
      </c>
      <c r="AI295" s="211">
        <f t="shared" si="283"/>
        <v>1</v>
      </c>
      <c r="AJ295" s="221"/>
      <c r="AL295" s="311"/>
      <c r="AM295" s="222"/>
      <c r="AN295" s="204"/>
      <c r="AO295" s="311"/>
      <c r="AP295" s="222"/>
      <c r="AQ295" s="204"/>
      <c r="AR295" s="311"/>
      <c r="AS295" s="222"/>
      <c r="AT295" s="204"/>
      <c r="AU295" s="311"/>
      <c r="AV295" s="222"/>
      <c r="AW295" s="202"/>
      <c r="AX295" s="221"/>
      <c r="AZ295" s="311"/>
      <c r="BA295" s="222"/>
      <c r="BB295" s="204"/>
      <c r="BC295" s="311"/>
      <c r="BD295" s="222"/>
      <c r="BE295" s="204"/>
      <c r="BF295" s="311"/>
      <c r="BG295" s="222"/>
      <c r="BH295" s="204"/>
      <c r="BI295" s="311"/>
      <c r="BJ295" s="222"/>
      <c r="BK295" s="202"/>
      <c r="BL295" s="221"/>
      <c r="BN295" s="311"/>
      <c r="BO295" s="222"/>
      <c r="BP295" s="204"/>
      <c r="BQ295" s="311"/>
      <c r="BR295" s="222"/>
      <c r="BS295" s="204"/>
      <c r="BT295" s="311"/>
      <c r="BU295" s="222"/>
      <c r="BV295" s="204"/>
      <c r="BW295" s="311"/>
      <c r="BX295" s="222"/>
      <c r="BY295" s="202"/>
      <c r="BZ295" s="221"/>
      <c r="CB295" s="311"/>
      <c r="CC295" s="222"/>
      <c r="CD295" s="204"/>
      <c r="CE295" s="311"/>
      <c r="CF295" s="222"/>
      <c r="CG295" s="204"/>
      <c r="CH295" s="311"/>
      <c r="CI295" s="222"/>
      <c r="CJ295" s="204"/>
      <c r="CK295" s="311"/>
      <c r="CL295" s="222"/>
      <c r="CM295" s="202"/>
      <c r="CN295" s="221"/>
    </row>
    <row r="296" spans="2:92" ht="69" customHeight="1" thickBot="1" x14ac:dyDescent="0.25">
      <c r="B296" s="1469"/>
      <c r="C296" s="1551"/>
      <c r="D296" s="1443"/>
      <c r="E296" s="1440"/>
      <c r="F296" s="1006" t="s">
        <v>330</v>
      </c>
      <c r="G296" s="315" t="str">
        <f>+'Plan de Accion apoyo transversa'!X140</f>
        <v>Servicio de documentación de los servicios TI y Sistemas de Información</v>
      </c>
      <c r="H296" s="215" t="str">
        <f>+'Plan de Accion apoyo transversa'!AK140</f>
        <v># Manuales documentados/ # manuales requeridos</v>
      </c>
      <c r="J296" s="214">
        <f>+'Plan de Accion apoyo transversa'!AT140</f>
        <v>0</v>
      </c>
      <c r="K296" s="476" t="str">
        <f>+'Plan de Accion apoyo transversa'!CE140</f>
        <v>No Prog ni Ejec</v>
      </c>
      <c r="L296" s="476" t="s">
        <v>204</v>
      </c>
      <c r="M296" s="476">
        <f>+'Plan de Accion apoyo transversa'!AX140</f>
        <v>0</v>
      </c>
      <c r="N296" s="476">
        <f t="shared" si="258"/>
        <v>0</v>
      </c>
      <c r="O296" s="478" t="s">
        <v>204</v>
      </c>
      <c r="P296" s="213"/>
      <c r="Q296" s="214">
        <f>+'Plan de Accion apoyo transversa'!BD140</f>
        <v>0</v>
      </c>
      <c r="R296" s="248" t="str">
        <f>+'Plan de Accion apoyo transversa'!CG140</f>
        <v>No Prog ni Ejec</v>
      </c>
      <c r="S296" s="212" t="s">
        <v>204</v>
      </c>
      <c r="T296" s="304">
        <f>+'Plan de Accion apoyo transversa'!BH140</f>
        <v>0</v>
      </c>
      <c r="U296" s="304">
        <f t="shared" si="281"/>
        <v>0</v>
      </c>
      <c r="V296" s="211" t="s">
        <v>204</v>
      </c>
      <c r="W296" s="213"/>
      <c r="X296" s="214">
        <f>+'Plan de Accion apoyo transversa'!BN140</f>
        <v>1</v>
      </c>
      <c r="Y296" s="248">
        <f>+'Plan de Accion apoyo transversa'!CI140</f>
        <v>5</v>
      </c>
      <c r="Z296" s="212">
        <f>IF(Y296&gt;100%,100%,Y296)</f>
        <v>1</v>
      </c>
      <c r="AA296" s="217">
        <f>+'Plan de Accion apoyo transversa'!BR140</f>
        <v>1</v>
      </c>
      <c r="AB296" s="217">
        <f t="shared" ref="AB296:AB307" si="295">IF(AA296&gt;100%,100%,AA296)</f>
        <v>1</v>
      </c>
      <c r="AC296" s="216">
        <f>+AB296</f>
        <v>1</v>
      </c>
      <c r="AD296" s="213">
        <v>1</v>
      </c>
      <c r="AE296" s="214">
        <f>+'Plan de Accion apoyo transversa'!BX140</f>
        <v>0</v>
      </c>
      <c r="AF296" s="248">
        <f>+'Plan de Accion apoyo transversa'!CK140</f>
        <v>0</v>
      </c>
      <c r="AG296" s="212">
        <f t="shared" si="294"/>
        <v>0</v>
      </c>
      <c r="AH296" s="248">
        <f>+'Plan de Accion apoyo transversa'!CB140</f>
        <v>1</v>
      </c>
      <c r="AI296" s="211">
        <f t="shared" si="283"/>
        <v>1</v>
      </c>
      <c r="AJ296" s="221"/>
      <c r="AL296" s="311"/>
      <c r="AM296" s="222"/>
      <c r="AN296" s="204"/>
      <c r="AO296" s="311"/>
      <c r="AP296" s="222"/>
      <c r="AQ296" s="204"/>
      <c r="AR296" s="311"/>
      <c r="AS296" s="222"/>
      <c r="AT296" s="204"/>
      <c r="AU296" s="311"/>
      <c r="AV296" s="222"/>
      <c r="AW296" s="202"/>
      <c r="AX296" s="221"/>
      <c r="AZ296" s="311"/>
      <c r="BA296" s="222"/>
      <c r="BB296" s="204"/>
      <c r="BC296" s="311"/>
      <c r="BD296" s="222"/>
      <c r="BE296" s="204"/>
      <c r="BF296" s="311"/>
      <c r="BG296" s="222"/>
      <c r="BH296" s="204"/>
      <c r="BI296" s="311"/>
      <c r="BJ296" s="222"/>
      <c r="BK296" s="202"/>
      <c r="BL296" s="221"/>
      <c r="BN296" s="311"/>
      <c r="BO296" s="222"/>
      <c r="BP296" s="204"/>
      <c r="BQ296" s="311"/>
      <c r="BR296" s="222"/>
      <c r="BS296" s="204"/>
      <c r="BT296" s="311"/>
      <c r="BU296" s="222"/>
      <c r="BV296" s="204"/>
      <c r="BW296" s="311"/>
      <c r="BX296" s="222"/>
      <c r="BY296" s="202"/>
      <c r="BZ296" s="221"/>
      <c r="CB296" s="311"/>
      <c r="CC296" s="222"/>
      <c r="CD296" s="204"/>
      <c r="CE296" s="311"/>
      <c r="CF296" s="222"/>
      <c r="CG296" s="204"/>
      <c r="CH296" s="311"/>
      <c r="CI296" s="222"/>
      <c r="CJ296" s="204"/>
      <c r="CK296" s="311"/>
      <c r="CL296" s="222"/>
      <c r="CM296" s="202"/>
      <c r="CN296" s="221"/>
    </row>
    <row r="297" spans="2:92" ht="57.75" thickBot="1" x14ac:dyDescent="0.25">
      <c r="B297" s="1469"/>
      <c r="C297" s="1551"/>
      <c r="D297" s="1443"/>
      <c r="E297" s="1440"/>
      <c r="F297" s="299" t="s">
        <v>1181</v>
      </c>
      <c r="G297" s="315" t="str">
        <f>+'Plan de Accion apoyo transversa'!X139</f>
        <v>Plan Estratégico de TI  estructurado, elaborado y aprobado</v>
      </c>
      <c r="H297" s="215" t="str">
        <f>+'Plan de Accion apoyo transversa'!AK139</f>
        <v># Planes Estratégicos de TI elaborados.</v>
      </c>
      <c r="J297" s="218">
        <f>+'Plan de Accion apoyo transversa'!AT139</f>
        <v>0</v>
      </c>
      <c r="K297" s="476" t="str">
        <f>+'Plan de Accion apoyo transversa'!CE139</f>
        <v>No Prog ni Ejec</v>
      </c>
      <c r="L297" s="476" t="s">
        <v>204</v>
      </c>
      <c r="M297" s="476">
        <f>+'Plan de Accion apoyo transversa'!AX139</f>
        <v>0</v>
      </c>
      <c r="N297" s="476">
        <f t="shared" si="258"/>
        <v>0</v>
      </c>
      <c r="O297" s="478" t="s">
        <v>204</v>
      </c>
      <c r="P297" s="213"/>
      <c r="Q297" s="218">
        <f>+'Plan de Accion apoyo transversa'!BD139</f>
        <v>0</v>
      </c>
      <c r="R297" s="248" t="str">
        <f>+'Plan de Accion apoyo transversa'!CG139</f>
        <v>No Prog ni Ejec</v>
      </c>
      <c r="S297" s="212" t="s">
        <v>204</v>
      </c>
      <c r="T297" s="304">
        <f>+'Plan de Accion apoyo transversa'!BH139</f>
        <v>0</v>
      </c>
      <c r="U297" s="304">
        <f t="shared" si="281"/>
        <v>0</v>
      </c>
      <c r="V297" s="211" t="s">
        <v>204</v>
      </c>
      <c r="W297" s="213"/>
      <c r="X297" s="218">
        <f>+'Plan de Accion apoyo transversa'!BN139</f>
        <v>0</v>
      </c>
      <c r="Y297" s="248" t="str">
        <f>+'Plan de Accion apoyo transversa'!CI139</f>
        <v>No Prog ni Ejec</v>
      </c>
      <c r="Z297" s="212" t="s">
        <v>204</v>
      </c>
      <c r="AA297" s="217">
        <f>+'Plan de Accion apoyo transversa'!BR139</f>
        <v>0</v>
      </c>
      <c r="AB297" s="217">
        <f t="shared" si="295"/>
        <v>0</v>
      </c>
      <c r="AC297" s="216" t="s">
        <v>204</v>
      </c>
      <c r="AD297" s="213"/>
      <c r="AE297" s="218">
        <f>+'Plan de Accion apoyo transversa'!BX139</f>
        <v>1</v>
      </c>
      <c r="AF297" s="248">
        <f>+'Plan de Accion apoyo transversa'!CK139</f>
        <v>1</v>
      </c>
      <c r="AG297" s="212">
        <f t="shared" si="294"/>
        <v>1</v>
      </c>
      <c r="AH297" s="248">
        <f>+'Plan de Accion apoyo transversa'!CB139</f>
        <v>1</v>
      </c>
      <c r="AI297" s="211">
        <f t="shared" si="283"/>
        <v>1</v>
      </c>
      <c r="AJ297" s="221"/>
      <c r="AL297" s="311"/>
      <c r="AM297" s="222"/>
      <c r="AN297" s="204"/>
      <c r="AO297" s="311"/>
      <c r="AP297" s="222"/>
      <c r="AQ297" s="204"/>
      <c r="AR297" s="311"/>
      <c r="AS297" s="222"/>
      <c r="AT297" s="204"/>
      <c r="AU297" s="311"/>
      <c r="AV297" s="222"/>
      <c r="AW297" s="202"/>
      <c r="AX297" s="221"/>
      <c r="AZ297" s="311"/>
      <c r="BA297" s="222"/>
      <c r="BB297" s="204"/>
      <c r="BC297" s="311"/>
      <c r="BD297" s="222"/>
      <c r="BE297" s="204"/>
      <c r="BF297" s="311"/>
      <c r="BG297" s="222"/>
      <c r="BH297" s="204"/>
      <c r="BI297" s="311"/>
      <c r="BJ297" s="222"/>
      <c r="BK297" s="202"/>
      <c r="BL297" s="221"/>
      <c r="BN297" s="311"/>
      <c r="BO297" s="222"/>
      <c r="BP297" s="204"/>
      <c r="BQ297" s="311"/>
      <c r="BR297" s="222"/>
      <c r="BS297" s="204"/>
      <c r="BT297" s="311"/>
      <c r="BU297" s="222"/>
      <c r="BV297" s="204"/>
      <c r="BW297" s="311"/>
      <c r="BX297" s="222"/>
      <c r="BY297" s="202"/>
      <c r="BZ297" s="221"/>
      <c r="CB297" s="311"/>
      <c r="CC297" s="222"/>
      <c r="CD297" s="204"/>
      <c r="CE297" s="311"/>
      <c r="CF297" s="222"/>
      <c r="CG297" s="204"/>
      <c r="CH297" s="311"/>
      <c r="CI297" s="222"/>
      <c r="CJ297" s="204"/>
      <c r="CK297" s="311"/>
      <c r="CL297" s="222"/>
      <c r="CM297" s="202"/>
      <c r="CN297" s="221"/>
    </row>
    <row r="298" spans="2:92" ht="100.5" thickBot="1" x14ac:dyDescent="0.25">
      <c r="B298" s="1469"/>
      <c r="C298" s="1551"/>
      <c r="D298" s="1443"/>
      <c r="E298" s="1440"/>
      <c r="F298" s="300" t="s">
        <v>336</v>
      </c>
      <c r="G298" s="315" t="str">
        <f>+'Plan de Accion apoyo transversa'!X141</f>
        <v>Reuniones de autocontrol y seguimiento a  los procesos que evidencien monitoreo a los riesgos, indicadores, planes de mejoramiento, manuales y documentos asociados</v>
      </c>
      <c r="H298" s="215" t="str">
        <f>+'Plan de Accion apoyo transversa'!AK141</f>
        <v># reuniones realizadas</v>
      </c>
      <c r="J298" s="218">
        <f>+'Plan de Accion apoyo transversa'!AT141</f>
        <v>0</v>
      </c>
      <c r="K298" s="476" t="str">
        <f>+'Plan de Accion apoyo transversa'!CE141</f>
        <v>No Prog ni Ejec</v>
      </c>
      <c r="L298" s="476" t="s">
        <v>204</v>
      </c>
      <c r="M298" s="476">
        <f>+'Plan de Accion apoyo transversa'!AX141</f>
        <v>0</v>
      </c>
      <c r="N298" s="476">
        <f t="shared" si="258"/>
        <v>0</v>
      </c>
      <c r="O298" s="478" t="s">
        <v>204</v>
      </c>
      <c r="P298" s="213"/>
      <c r="Q298" s="218">
        <f>+'Plan de Accion apoyo transversa'!BD141</f>
        <v>1</v>
      </c>
      <c r="R298" s="248">
        <f>+'Plan de Accion apoyo transversa'!CG141</f>
        <v>1</v>
      </c>
      <c r="S298" s="212">
        <f>IF(R298&gt;100%,100%,R298)</f>
        <v>1</v>
      </c>
      <c r="T298" s="304">
        <f>+'Plan de Accion apoyo transversa'!BH141</f>
        <v>0.33333333333333331</v>
      </c>
      <c r="U298" s="304">
        <f t="shared" si="281"/>
        <v>0.33333333333333331</v>
      </c>
      <c r="V298" s="211">
        <f>+U298</f>
        <v>0.33333333333333331</v>
      </c>
      <c r="W298" s="213"/>
      <c r="X298" s="218">
        <f>+'Plan de Accion apoyo transversa'!BN141</f>
        <v>1</v>
      </c>
      <c r="Y298" s="248">
        <f>+'Plan de Accion apoyo transversa'!CI141</f>
        <v>1</v>
      </c>
      <c r="Z298" s="212">
        <f>IF(Y298&gt;100%,100%,Y298)</f>
        <v>1</v>
      </c>
      <c r="AA298" s="217">
        <f>+'Plan de Accion apoyo transversa'!BR141</f>
        <v>0.66666666666666663</v>
      </c>
      <c r="AB298" s="217">
        <f t="shared" si="295"/>
        <v>0.66666666666666663</v>
      </c>
      <c r="AC298" s="216">
        <f t="shared" ref="AC298:AC304" si="296">+AB298</f>
        <v>0.66666666666666663</v>
      </c>
      <c r="AD298" s="213"/>
      <c r="AE298" s="218">
        <f>+'Plan de Accion apoyo transversa'!BX141</f>
        <v>1</v>
      </c>
      <c r="AF298" s="248">
        <f>+'Plan de Accion apoyo transversa'!CK141</f>
        <v>1</v>
      </c>
      <c r="AG298" s="212">
        <f t="shared" si="294"/>
        <v>1</v>
      </c>
      <c r="AH298" s="248">
        <f>+'Plan de Accion apoyo transversa'!CB141</f>
        <v>1</v>
      </c>
      <c r="AI298" s="211">
        <f t="shared" si="283"/>
        <v>1</v>
      </c>
      <c r="AJ298" s="221"/>
      <c r="AL298" s="311"/>
      <c r="AM298" s="222"/>
      <c r="AN298" s="204"/>
      <c r="AO298" s="311"/>
      <c r="AP298" s="222"/>
      <c r="AQ298" s="204"/>
      <c r="AR298" s="311"/>
      <c r="AS298" s="222"/>
      <c r="AT298" s="204"/>
      <c r="AU298" s="311"/>
      <c r="AV298" s="222"/>
      <c r="AW298" s="202"/>
      <c r="AX298" s="221"/>
      <c r="AZ298" s="311"/>
      <c r="BA298" s="222"/>
      <c r="BB298" s="204"/>
      <c r="BC298" s="311"/>
      <c r="BD298" s="222"/>
      <c r="BE298" s="204"/>
      <c r="BF298" s="311"/>
      <c r="BG298" s="222"/>
      <c r="BH298" s="204"/>
      <c r="BI298" s="311"/>
      <c r="BJ298" s="222"/>
      <c r="BK298" s="202"/>
      <c r="BL298" s="221"/>
      <c r="BN298" s="311"/>
      <c r="BO298" s="222"/>
      <c r="BP298" s="204"/>
      <c r="BQ298" s="311"/>
      <c r="BR298" s="222"/>
      <c r="BS298" s="204"/>
      <c r="BT298" s="311"/>
      <c r="BU298" s="222"/>
      <c r="BV298" s="204"/>
      <c r="BW298" s="311"/>
      <c r="BX298" s="222"/>
      <c r="BY298" s="202"/>
      <c r="BZ298" s="221"/>
      <c r="CB298" s="311"/>
      <c r="CC298" s="222"/>
      <c r="CD298" s="204"/>
      <c r="CE298" s="311"/>
      <c r="CF298" s="222"/>
      <c r="CG298" s="204"/>
      <c r="CH298" s="311"/>
      <c r="CI298" s="222"/>
      <c r="CJ298" s="204"/>
      <c r="CK298" s="311"/>
      <c r="CL298" s="222"/>
      <c r="CM298" s="202"/>
      <c r="CN298" s="221"/>
    </row>
    <row r="299" spans="2:92" ht="129" customHeight="1" thickBot="1" x14ac:dyDescent="0.25">
      <c r="B299" s="1469"/>
      <c r="C299" s="1551"/>
      <c r="D299" s="1443"/>
      <c r="E299" s="1440"/>
      <c r="F299" s="1554" t="s">
        <v>1182</v>
      </c>
      <c r="G299" s="315" t="str">
        <f>+'Plan de Accion apoyo transversa'!X143</f>
        <v>Política aprobada y publicada en la página Web</v>
      </c>
      <c r="H299" s="215" t="str">
        <f>+'Plan de Accion apoyo transversa'!AK143</f>
        <v># Políticas aprobadas y publicadas en la página Web</v>
      </c>
      <c r="J299" s="218">
        <f>+'Plan de Accion apoyo transversa'!AT143</f>
        <v>0</v>
      </c>
      <c r="K299" s="476" t="str">
        <f>+'Plan de Accion apoyo transversa'!CE143</f>
        <v>No Prog ni Ejec</v>
      </c>
      <c r="L299" s="476" t="s">
        <v>204</v>
      </c>
      <c r="M299" s="476">
        <f>+'Plan de Accion apoyo transversa'!AX143</f>
        <v>0</v>
      </c>
      <c r="N299" s="476">
        <f t="shared" si="258"/>
        <v>0</v>
      </c>
      <c r="O299" s="478" t="s">
        <v>204</v>
      </c>
      <c r="P299" s="213"/>
      <c r="Q299" s="218">
        <f>+'Plan de Accion apoyo transversa'!BD143</f>
        <v>0</v>
      </c>
      <c r="R299" s="248">
        <f>+'Plan de Accion apoyo transversa'!CG143</f>
        <v>0</v>
      </c>
      <c r="S299" s="212">
        <f>IF(R299&gt;100%,100%,R299)</f>
        <v>0</v>
      </c>
      <c r="T299" s="304">
        <f>+'Plan de Accion apoyo transversa'!BH143</f>
        <v>0</v>
      </c>
      <c r="U299" s="304">
        <f t="shared" si="281"/>
        <v>0</v>
      </c>
      <c r="V299" s="211">
        <f>+U299</f>
        <v>0</v>
      </c>
      <c r="W299" s="213"/>
      <c r="X299" s="218">
        <f>+'Plan de Accion apoyo transversa'!BN143</f>
        <v>1</v>
      </c>
      <c r="Y299" s="248">
        <f>+'Plan de Accion apoyo transversa'!CI143</f>
        <v>1</v>
      </c>
      <c r="Z299" s="212">
        <f>+Y299</f>
        <v>1</v>
      </c>
      <c r="AA299" s="217">
        <f>+'Plan de Accion apoyo transversa'!BR143</f>
        <v>1</v>
      </c>
      <c r="AB299" s="217">
        <f t="shared" si="295"/>
        <v>1</v>
      </c>
      <c r="AC299" s="216">
        <f t="shared" si="296"/>
        <v>1</v>
      </c>
      <c r="AD299" s="213"/>
      <c r="AE299" s="218">
        <f>+'Plan de Accion apoyo transversa'!BX143</f>
        <v>0</v>
      </c>
      <c r="AF299" s="248" t="str">
        <f>+'Plan de Accion apoyo transversa'!CK143</f>
        <v>No Prog ni Ejec</v>
      </c>
      <c r="AG299" s="212" t="s">
        <v>204</v>
      </c>
      <c r="AH299" s="248">
        <f>+'Plan de Accion apoyo transversa'!CB143</f>
        <v>1</v>
      </c>
      <c r="AI299" s="211">
        <f t="shared" si="283"/>
        <v>1</v>
      </c>
      <c r="AJ299" s="221"/>
      <c r="AL299" s="311"/>
      <c r="AM299" s="222"/>
      <c r="AN299" s="204"/>
      <c r="AO299" s="311"/>
      <c r="AP299" s="222"/>
      <c r="AQ299" s="204"/>
      <c r="AR299" s="311"/>
      <c r="AS299" s="222"/>
      <c r="AT299" s="204"/>
      <c r="AU299" s="311"/>
      <c r="AV299" s="222"/>
      <c r="AW299" s="202"/>
      <c r="AX299" s="221"/>
      <c r="AZ299" s="311"/>
      <c r="BA299" s="222"/>
      <c r="BB299" s="204"/>
      <c r="BC299" s="311"/>
      <c r="BD299" s="222"/>
      <c r="BE299" s="204"/>
      <c r="BF299" s="311"/>
      <c r="BG299" s="222"/>
      <c r="BH299" s="204"/>
      <c r="BI299" s="311"/>
      <c r="BJ299" s="222"/>
      <c r="BK299" s="202"/>
      <c r="BL299" s="221"/>
      <c r="BN299" s="311"/>
      <c r="BO299" s="222"/>
      <c r="BP299" s="204"/>
      <c r="BQ299" s="311"/>
      <c r="BR299" s="222"/>
      <c r="BS299" s="204"/>
      <c r="BT299" s="311"/>
      <c r="BU299" s="222"/>
      <c r="BV299" s="204"/>
      <c r="BW299" s="311"/>
      <c r="BX299" s="222"/>
      <c r="BY299" s="202"/>
      <c r="BZ299" s="221"/>
      <c r="CB299" s="311"/>
      <c r="CC299" s="222"/>
      <c r="CD299" s="204"/>
      <c r="CE299" s="311"/>
      <c r="CF299" s="222"/>
      <c r="CG299" s="204"/>
      <c r="CH299" s="311"/>
      <c r="CI299" s="222"/>
      <c r="CJ299" s="204"/>
      <c r="CK299" s="311"/>
      <c r="CL299" s="222"/>
      <c r="CM299" s="202"/>
      <c r="CN299" s="221"/>
    </row>
    <row r="300" spans="2:92" ht="57.75" thickBot="1" x14ac:dyDescent="0.25">
      <c r="B300" s="1469"/>
      <c r="C300" s="1551"/>
      <c r="D300" s="1444"/>
      <c r="E300" s="1441"/>
      <c r="F300" s="1554"/>
      <c r="G300" s="315" t="str">
        <f>+'Plan de Accion apoyo transversa'!X144</f>
        <v xml:space="preserve">Procesos con Riesgos de Seguridad de la Información identificados </v>
      </c>
      <c r="H300" s="215" t="str">
        <f>+'Plan de Accion apoyo transversa'!AK144</f>
        <v># Procesos con riesgos de Seguridad de la Información identificados / # procesos vigentes</v>
      </c>
      <c r="J300" s="218">
        <f>+'Plan de Accion apoyo transversa'!AT144</f>
        <v>0</v>
      </c>
      <c r="K300" s="476" t="str">
        <f>+'Plan de Accion apoyo transversa'!CE144</f>
        <v>No Prog ni Ejec</v>
      </c>
      <c r="L300" s="476" t="s">
        <v>204</v>
      </c>
      <c r="M300" s="476">
        <f>+'Plan de Accion apoyo transversa'!AX144</f>
        <v>0</v>
      </c>
      <c r="N300" s="476">
        <f t="shared" si="258"/>
        <v>0</v>
      </c>
      <c r="O300" s="478" t="s">
        <v>204</v>
      </c>
      <c r="P300" s="213"/>
      <c r="Q300" s="214">
        <f>+'Plan de Accion apoyo transversa'!BD144</f>
        <v>0</v>
      </c>
      <c r="R300" s="248" t="str">
        <f>+'Plan de Accion apoyo transversa'!CG144</f>
        <v>No Prog ni Ejec</v>
      </c>
      <c r="S300" s="212" t="s">
        <v>204</v>
      </c>
      <c r="T300" s="304">
        <f>+'Plan de Accion apoyo transversa'!BH144</f>
        <v>0</v>
      </c>
      <c r="U300" s="304">
        <f t="shared" si="281"/>
        <v>0</v>
      </c>
      <c r="V300" s="211" t="s">
        <v>204</v>
      </c>
      <c r="W300" s="213"/>
      <c r="X300" s="214">
        <f>+'Plan de Accion apoyo transversa'!BN144</f>
        <v>0</v>
      </c>
      <c r="Y300" s="248" t="str">
        <f>+'Plan de Accion apoyo transversa'!CI144</f>
        <v>No Prog ni Ejec</v>
      </c>
      <c r="Z300" s="212" t="s">
        <v>204</v>
      </c>
      <c r="AA300" s="217">
        <f>+'Plan de Accion apoyo transversa'!BR144</f>
        <v>0</v>
      </c>
      <c r="AB300" s="217">
        <f t="shared" si="295"/>
        <v>0</v>
      </c>
      <c r="AC300" s="216" t="s">
        <v>204</v>
      </c>
      <c r="AD300" s="213"/>
      <c r="AE300" s="214">
        <f>+'Plan de Accion apoyo transversa'!BX144</f>
        <v>1</v>
      </c>
      <c r="AF300" s="248">
        <f>+'Plan de Accion apoyo transversa'!CK144</f>
        <v>1</v>
      </c>
      <c r="AG300" s="212">
        <f>IF(AF300&gt;100%,100%,AF300)</f>
        <v>1</v>
      </c>
      <c r="AH300" s="248">
        <f>+'Plan de Accion apoyo transversa'!CB144</f>
        <v>1</v>
      </c>
      <c r="AI300" s="211">
        <f t="shared" si="283"/>
        <v>1</v>
      </c>
      <c r="AJ300" s="221"/>
      <c r="AL300" s="311"/>
      <c r="AM300" s="222"/>
      <c r="AN300" s="204"/>
      <c r="AO300" s="311"/>
      <c r="AP300" s="222"/>
      <c r="AQ300" s="204"/>
      <c r="AR300" s="311"/>
      <c r="AS300" s="222"/>
      <c r="AT300" s="204"/>
      <c r="AU300" s="311"/>
      <c r="AV300" s="222"/>
      <c r="AW300" s="202"/>
      <c r="AX300" s="221"/>
      <c r="AZ300" s="311"/>
      <c r="BA300" s="222"/>
      <c r="BB300" s="204"/>
      <c r="BC300" s="311"/>
      <c r="BD300" s="222"/>
      <c r="BE300" s="204"/>
      <c r="BF300" s="311"/>
      <c r="BG300" s="222"/>
      <c r="BH300" s="204"/>
      <c r="BI300" s="311"/>
      <c r="BJ300" s="222"/>
      <c r="BK300" s="202"/>
      <c r="BL300" s="221"/>
      <c r="BN300" s="311"/>
      <c r="BO300" s="222"/>
      <c r="BP300" s="204"/>
      <c r="BQ300" s="311"/>
      <c r="BR300" s="222"/>
      <c r="BS300" s="204"/>
      <c r="BT300" s="311"/>
      <c r="BU300" s="222"/>
      <c r="BV300" s="204"/>
      <c r="BW300" s="311"/>
      <c r="BX300" s="222"/>
      <c r="BY300" s="202"/>
      <c r="BZ300" s="221"/>
      <c r="CB300" s="311"/>
      <c r="CC300" s="222"/>
      <c r="CD300" s="204"/>
      <c r="CE300" s="311"/>
      <c r="CF300" s="222"/>
      <c r="CG300" s="204"/>
      <c r="CH300" s="311"/>
      <c r="CI300" s="222"/>
      <c r="CJ300" s="204"/>
      <c r="CK300" s="311"/>
      <c r="CL300" s="222"/>
      <c r="CM300" s="202"/>
      <c r="CN300" s="221"/>
    </row>
    <row r="301" spans="2:92" ht="72" thickBot="1" x14ac:dyDescent="0.25">
      <c r="B301" s="1469"/>
      <c r="C301" s="1551"/>
      <c r="D301" s="1442" t="s">
        <v>204</v>
      </c>
      <c r="E301" s="1439" t="s">
        <v>1185</v>
      </c>
      <c r="F301" s="1442" t="s">
        <v>336</v>
      </c>
      <c r="G301" s="315" t="str">
        <f>+'Plan de Accion apoyo transversa'!X152</f>
        <v>Acto Administrativo que formaliza para ADRES la actualización de la Política de Administración de Riesgos</v>
      </c>
      <c r="H301" s="215" t="str">
        <f>+'Plan de Accion apoyo transversa'!AK152</f>
        <v># Actos administrativos de formalización de la política</v>
      </c>
      <c r="J301" s="218">
        <f>+'Plan de Accion apoyo transversa'!AT152</f>
        <v>0</v>
      </c>
      <c r="K301" s="476" t="str">
        <f>+'Plan de Accion apoyo transversa'!CE152</f>
        <v>No Prog ni Ejec</v>
      </c>
      <c r="L301" s="476" t="s">
        <v>204</v>
      </c>
      <c r="M301" s="476">
        <f>+'Plan de Accion apoyo transversa'!AX152</f>
        <v>0</v>
      </c>
      <c r="N301" s="476">
        <f t="shared" si="258"/>
        <v>0</v>
      </c>
      <c r="O301" s="478" t="s">
        <v>204</v>
      </c>
      <c r="P301" s="213"/>
      <c r="Q301" s="218">
        <f>+'Plan de Accion apoyo transversa'!BD152</f>
        <v>1</v>
      </c>
      <c r="R301" s="248">
        <f>+'Plan de Accion apoyo transversa'!CG152</f>
        <v>1</v>
      </c>
      <c r="S301" s="212">
        <f t="shared" ref="S301:S307" si="297">IF(R301&gt;100%,100%,R301)</f>
        <v>1</v>
      </c>
      <c r="T301" s="304">
        <f>+'Plan de Accion apoyo transversa'!BH152</f>
        <v>1</v>
      </c>
      <c r="U301" s="304">
        <f t="shared" si="281"/>
        <v>1</v>
      </c>
      <c r="V301" s="211">
        <f t="shared" ref="V301:V307" si="298">+U301</f>
        <v>1</v>
      </c>
      <c r="W301" s="213"/>
      <c r="X301" s="218">
        <f>+'Plan de Accion apoyo transversa'!BN152</f>
        <v>0</v>
      </c>
      <c r="Y301" s="248" t="str">
        <f>+'Plan de Accion apoyo transversa'!CI152</f>
        <v>No Prog ni Ejec</v>
      </c>
      <c r="Z301" s="212" t="s">
        <v>204</v>
      </c>
      <c r="AA301" s="217">
        <f>+'Plan de Accion apoyo transversa'!BR152</f>
        <v>1</v>
      </c>
      <c r="AB301" s="217">
        <f t="shared" si="295"/>
        <v>1</v>
      </c>
      <c r="AC301" s="216">
        <f t="shared" si="296"/>
        <v>1</v>
      </c>
      <c r="AD301" s="213"/>
      <c r="AE301" s="218">
        <f>+'Plan de Accion apoyo transversa'!BX152</f>
        <v>0</v>
      </c>
      <c r="AF301" s="248" t="str">
        <f>+'Plan de Accion apoyo transversa'!CK152</f>
        <v>No Prog ni Ejec</v>
      </c>
      <c r="AG301" s="212" t="s">
        <v>204</v>
      </c>
      <c r="AH301" s="248">
        <f>+'Plan de Accion apoyo transversa'!CB152</f>
        <v>1</v>
      </c>
      <c r="AI301" s="211">
        <f t="shared" si="283"/>
        <v>1</v>
      </c>
      <c r="AJ301" s="221"/>
      <c r="AL301" s="311"/>
      <c r="AM301" s="222"/>
      <c r="AN301" s="204"/>
      <c r="AO301" s="311"/>
      <c r="AP301" s="222"/>
      <c r="AQ301" s="204"/>
      <c r="AR301" s="311"/>
      <c r="AS301" s="222"/>
      <c r="AT301" s="204"/>
      <c r="AU301" s="311"/>
      <c r="AV301" s="222"/>
      <c r="AW301" s="202"/>
      <c r="AX301" s="221"/>
      <c r="AZ301" s="311"/>
      <c r="BA301" s="222"/>
      <c r="BB301" s="204"/>
      <c r="BC301" s="311"/>
      <c r="BD301" s="222"/>
      <c r="BE301" s="204"/>
      <c r="BF301" s="311"/>
      <c r="BG301" s="222"/>
      <c r="BH301" s="204"/>
      <c r="BI301" s="311"/>
      <c r="BJ301" s="222"/>
      <c r="BK301" s="202"/>
      <c r="BL301" s="221"/>
      <c r="BN301" s="311"/>
      <c r="BO301" s="222"/>
      <c r="BP301" s="204"/>
      <c r="BQ301" s="311"/>
      <c r="BR301" s="222"/>
      <c r="BS301" s="204"/>
      <c r="BT301" s="311"/>
      <c r="BU301" s="222"/>
      <c r="BV301" s="204"/>
      <c r="BW301" s="311"/>
      <c r="BX301" s="222"/>
      <c r="BY301" s="202"/>
      <c r="BZ301" s="221"/>
      <c r="CB301" s="311"/>
      <c r="CC301" s="222"/>
      <c r="CD301" s="204"/>
      <c r="CE301" s="311"/>
      <c r="CF301" s="222"/>
      <c r="CG301" s="204"/>
      <c r="CH301" s="311"/>
      <c r="CI301" s="222"/>
      <c r="CJ301" s="204"/>
      <c r="CK301" s="311"/>
      <c r="CL301" s="222"/>
      <c r="CM301" s="202"/>
      <c r="CN301" s="221"/>
    </row>
    <row r="302" spans="2:92" ht="43.5" thickBot="1" x14ac:dyDescent="0.25">
      <c r="B302" s="1469"/>
      <c r="C302" s="1551"/>
      <c r="D302" s="1443"/>
      <c r="E302" s="1440"/>
      <c r="F302" s="1443"/>
      <c r="G302" s="1439" t="str">
        <f>+'Plan de Accion apoyo transversa'!X155</f>
        <v>Mapa de riesgos actualizado, publicado y socializado</v>
      </c>
      <c r="H302" s="215" t="str">
        <f>+'Plan de Accion apoyo transversa'!AK155</f>
        <v xml:space="preserve"># Riesgos actualizados en el Mapa de Riesgos Institucional / Total de Riesgos </v>
      </c>
      <c r="J302" s="214">
        <f>+'Plan de Accion apoyo transversa'!AT155</f>
        <v>9.7826086956521743E-2</v>
      </c>
      <c r="K302" s="476">
        <f>+'Plan de Accion apoyo transversa'!CE155</f>
        <v>0.39130434782608697</v>
      </c>
      <c r="L302" s="476">
        <f>IF(K302&gt;100%,100%,K302)</f>
        <v>0.39130434782608697</v>
      </c>
      <c r="M302" s="476">
        <f>+'Plan de Accion apoyo transversa'!AX155</f>
        <v>9.7826086956521743E-2</v>
      </c>
      <c r="N302" s="476">
        <f t="shared" si="258"/>
        <v>9.7826086956521743E-2</v>
      </c>
      <c r="O302" s="478">
        <f>+N302</f>
        <v>9.7826086956521743E-2</v>
      </c>
      <c r="P302" s="213"/>
      <c r="Q302" s="214">
        <f>+'Plan de Accion apoyo transversa'!BD155</f>
        <v>0</v>
      </c>
      <c r="R302" s="248" t="str">
        <f>+'Plan de Accion apoyo transversa'!CG155</f>
        <v>No Prog ni Ejec</v>
      </c>
      <c r="S302" s="212" t="s">
        <v>204</v>
      </c>
      <c r="T302" s="304">
        <f>+'Plan de Accion apoyo transversa'!BH155</f>
        <v>9.7826086956521743E-2</v>
      </c>
      <c r="U302" s="304">
        <f t="shared" si="281"/>
        <v>9.7826086956521743E-2</v>
      </c>
      <c r="V302" s="211">
        <f t="shared" si="298"/>
        <v>9.7826086956521743E-2</v>
      </c>
      <c r="W302" s="213"/>
      <c r="X302" s="214">
        <f>+'Plan de Accion apoyo transversa'!BN155</f>
        <v>0</v>
      </c>
      <c r="Y302" s="248" t="str">
        <f>+'Plan de Accion apoyo transversa'!CI155</f>
        <v>No Prog ni Ejec</v>
      </c>
      <c r="Z302" s="212" t="s">
        <v>204</v>
      </c>
      <c r="AA302" s="217">
        <f>+'Plan de Accion apoyo transversa'!BR155</f>
        <v>9.7826086956521743E-2</v>
      </c>
      <c r="AB302" s="217">
        <f t="shared" si="295"/>
        <v>9.7826086956521743E-2</v>
      </c>
      <c r="AC302" s="216">
        <f t="shared" si="296"/>
        <v>9.7826086956521743E-2</v>
      </c>
      <c r="AD302" s="213"/>
      <c r="AE302" s="214">
        <f>+'Plan de Accion apoyo transversa'!BX155</f>
        <v>0.75</v>
      </c>
      <c r="AF302" s="248">
        <f>+'Plan de Accion apoyo transversa'!CK155</f>
        <v>1</v>
      </c>
      <c r="AG302" s="212">
        <f t="shared" ref="AG302:AG303" si="299">IF(AF302&gt;100%,100%,AF302)</f>
        <v>1</v>
      </c>
      <c r="AH302" s="248">
        <f>+'Plan de Accion apoyo transversa'!CB155</f>
        <v>0.84782608695652173</v>
      </c>
      <c r="AI302" s="211">
        <f t="shared" si="283"/>
        <v>0.84782608695652173</v>
      </c>
      <c r="AJ302" s="221"/>
      <c r="AL302" s="311"/>
      <c r="AM302" s="222"/>
      <c r="AN302" s="204"/>
      <c r="AO302" s="311"/>
      <c r="AP302" s="222"/>
      <c r="AQ302" s="204"/>
      <c r="AR302" s="311"/>
      <c r="AS302" s="222"/>
      <c r="AT302" s="204"/>
      <c r="AU302" s="311"/>
      <c r="AV302" s="222"/>
      <c r="AW302" s="202"/>
      <c r="AX302" s="221"/>
      <c r="AZ302" s="311"/>
      <c r="BA302" s="222"/>
      <c r="BB302" s="204"/>
      <c r="BC302" s="311"/>
      <c r="BD302" s="222"/>
      <c r="BE302" s="204"/>
      <c r="BF302" s="311"/>
      <c r="BG302" s="222"/>
      <c r="BH302" s="204"/>
      <c r="BI302" s="311"/>
      <c r="BJ302" s="222"/>
      <c r="BK302" s="202"/>
      <c r="BL302" s="221"/>
      <c r="BN302" s="311"/>
      <c r="BO302" s="222"/>
      <c r="BP302" s="204"/>
      <c r="BQ302" s="311"/>
      <c r="BR302" s="222"/>
      <c r="BS302" s="204"/>
      <c r="BT302" s="311"/>
      <c r="BU302" s="222"/>
      <c r="BV302" s="204"/>
      <c r="BW302" s="311"/>
      <c r="BX302" s="222"/>
      <c r="BY302" s="202"/>
      <c r="BZ302" s="221"/>
      <c r="CB302" s="311"/>
      <c r="CC302" s="222"/>
      <c r="CD302" s="204"/>
      <c r="CE302" s="311"/>
      <c r="CF302" s="222"/>
      <c r="CG302" s="204"/>
      <c r="CH302" s="311"/>
      <c r="CI302" s="222"/>
      <c r="CJ302" s="204"/>
      <c r="CK302" s="311"/>
      <c r="CL302" s="222"/>
      <c r="CM302" s="202"/>
      <c r="CN302" s="221"/>
    </row>
    <row r="303" spans="2:92" ht="57.75" thickBot="1" x14ac:dyDescent="0.25">
      <c r="B303" s="1469"/>
      <c r="C303" s="1551"/>
      <c r="D303" s="1443"/>
      <c r="E303" s="1440"/>
      <c r="F303" s="1443"/>
      <c r="G303" s="1440"/>
      <c r="H303" s="215" t="str">
        <f>+'Plan de Accion apoyo transversa'!AK156</f>
        <v># Mapas de riesgos publicado en página web y socializado a todo el personal de la entidad mediante correo electrónico</v>
      </c>
      <c r="J303" s="214">
        <f>+'Plan de Accion apoyo transversa'!AT156</f>
        <v>0</v>
      </c>
      <c r="K303" s="610" t="str">
        <f>+'Plan de Accion apoyo transversa'!CE156</f>
        <v>No Prog ni Ejec</v>
      </c>
      <c r="L303" s="610" t="s">
        <v>204</v>
      </c>
      <c r="M303" s="610">
        <f>+'Plan de Accion apoyo transversa'!AX156</f>
        <v>0</v>
      </c>
      <c r="N303" s="610">
        <f t="shared" ref="N303:N304" si="300">IF(M303&gt;100%,100%,M303)</f>
        <v>0</v>
      </c>
      <c r="O303" s="611" t="s">
        <v>204</v>
      </c>
      <c r="P303" s="213"/>
      <c r="Q303" s="214">
        <f>+'Plan de Accion apoyo transversa'!BD156</f>
        <v>0</v>
      </c>
      <c r="R303" s="248" t="str">
        <f>+'Plan de Accion apoyo transversa'!CG156</f>
        <v>No Prog ni Ejec</v>
      </c>
      <c r="S303" s="212" t="s">
        <v>204</v>
      </c>
      <c r="T303" s="610">
        <f>+'Plan de Accion apoyo transversa'!BH156</f>
        <v>0</v>
      </c>
      <c r="U303" s="610">
        <f t="shared" ref="U303" si="301">IF(T303&gt;100%,100%,T303)</f>
        <v>0</v>
      </c>
      <c r="V303" s="211" t="s">
        <v>204</v>
      </c>
      <c r="W303" s="213"/>
      <c r="X303" s="214">
        <f>+'Plan de Accion apoyo transversa'!BN156</f>
        <v>0</v>
      </c>
      <c r="Y303" s="248" t="str">
        <f>+'Plan de Accion apoyo transversa'!CI156</f>
        <v>No Prog ni Ejec</v>
      </c>
      <c r="Z303" s="212" t="s">
        <v>204</v>
      </c>
      <c r="AA303" s="217">
        <f>+'Plan de Accion apoyo transversa'!BR156</f>
        <v>0</v>
      </c>
      <c r="AB303" s="217">
        <f t="shared" ref="AB303" si="302">IF(AA303&gt;100%,100%,AA303)</f>
        <v>0</v>
      </c>
      <c r="AC303" s="216" t="s">
        <v>204</v>
      </c>
      <c r="AD303" s="213"/>
      <c r="AE303" s="214">
        <f>+'Plan de Accion apoyo transversa'!BX156</f>
        <v>1</v>
      </c>
      <c r="AF303" s="248">
        <f>+'Plan de Accion apoyo transversa'!CK156</f>
        <v>1</v>
      </c>
      <c r="AG303" s="212">
        <f t="shared" si="299"/>
        <v>1</v>
      </c>
      <c r="AH303" s="248">
        <f>+'Plan de Accion apoyo transversa'!CB156</f>
        <v>1</v>
      </c>
      <c r="AI303" s="211">
        <f t="shared" ref="AI303" si="303">IF(AH303&gt;100%,100%,AH303)</f>
        <v>1</v>
      </c>
      <c r="AJ303" s="221"/>
      <c r="AL303" s="612"/>
      <c r="AM303" s="222"/>
      <c r="AN303" s="204"/>
      <c r="AO303" s="612"/>
      <c r="AP303" s="222"/>
      <c r="AQ303" s="204"/>
      <c r="AR303" s="612"/>
      <c r="AS303" s="222"/>
      <c r="AT303" s="204"/>
      <c r="AU303" s="612"/>
      <c r="AV303" s="222"/>
      <c r="AW303" s="202"/>
      <c r="AX303" s="221"/>
      <c r="AZ303" s="612"/>
      <c r="BA303" s="222"/>
      <c r="BB303" s="204"/>
      <c r="BC303" s="612"/>
      <c r="BD303" s="222"/>
      <c r="BE303" s="204"/>
      <c r="BF303" s="612"/>
      <c r="BG303" s="222"/>
      <c r="BH303" s="204"/>
      <c r="BI303" s="612"/>
      <c r="BJ303" s="222"/>
      <c r="BK303" s="202"/>
      <c r="BL303" s="221"/>
      <c r="BN303" s="612"/>
      <c r="BO303" s="222"/>
      <c r="BP303" s="204"/>
      <c r="BQ303" s="612"/>
      <c r="BR303" s="222"/>
      <c r="BS303" s="204"/>
      <c r="BT303" s="612"/>
      <c r="BU303" s="222"/>
      <c r="BV303" s="204"/>
      <c r="BW303" s="612"/>
      <c r="BX303" s="222"/>
      <c r="BY303" s="202"/>
      <c r="BZ303" s="221"/>
      <c r="CB303" s="612"/>
      <c r="CC303" s="222"/>
      <c r="CD303" s="204"/>
      <c r="CE303" s="612"/>
      <c r="CF303" s="222"/>
      <c r="CG303" s="204"/>
      <c r="CH303" s="612"/>
      <c r="CI303" s="222"/>
      <c r="CJ303" s="204"/>
      <c r="CK303" s="612"/>
      <c r="CL303" s="222"/>
      <c r="CM303" s="202"/>
      <c r="CN303" s="221"/>
    </row>
    <row r="304" spans="2:92" ht="72" thickBot="1" x14ac:dyDescent="0.25">
      <c r="B304" s="1469"/>
      <c r="C304" s="1551"/>
      <c r="D304" s="1443"/>
      <c r="E304" s="1440"/>
      <c r="F304" s="1444"/>
      <c r="G304" s="1441"/>
      <c r="H304" s="215" t="str">
        <f>+'Plan de Accion apoyo transversa'!AK157</f>
        <v># Mapas de riesgos publicados en página web en el periodo / # Mapas de riesgos actualizados en el periodo</v>
      </c>
      <c r="J304" s="214">
        <f>+'Plan de Accion apoyo transversa'!AT157</f>
        <v>0</v>
      </c>
      <c r="K304" s="673">
        <f>+'Plan de Accion apoyo transversa'!CE157</f>
        <v>0</v>
      </c>
      <c r="L304" s="673">
        <f>IF(K304&gt;100%,100%,K304)</f>
        <v>0</v>
      </c>
      <c r="M304" s="673">
        <f>+'Plan de Accion apoyo transversa'!AX157</f>
        <v>0</v>
      </c>
      <c r="N304" s="673">
        <f t="shared" si="300"/>
        <v>0</v>
      </c>
      <c r="O304" s="674">
        <f>+N304</f>
        <v>0</v>
      </c>
      <c r="P304" s="213"/>
      <c r="Q304" s="214" t="s">
        <v>204</v>
      </c>
      <c r="R304" s="248" t="s">
        <v>180</v>
      </c>
      <c r="S304" s="212" t="s">
        <v>204</v>
      </c>
      <c r="T304" s="304" t="s">
        <v>204</v>
      </c>
      <c r="U304" s="304" t="s">
        <v>204</v>
      </c>
      <c r="V304" s="211" t="str">
        <f t="shared" si="298"/>
        <v>N.A</v>
      </c>
      <c r="W304" s="213"/>
      <c r="X304" s="214" t="s">
        <v>204</v>
      </c>
      <c r="Y304" s="248" t="s">
        <v>180</v>
      </c>
      <c r="Z304" s="212" t="s">
        <v>204</v>
      </c>
      <c r="AA304" s="217" t="s">
        <v>204</v>
      </c>
      <c r="AB304" s="217" t="s">
        <v>204</v>
      </c>
      <c r="AC304" s="216" t="str">
        <f t="shared" si="296"/>
        <v>N.A</v>
      </c>
      <c r="AD304" s="213"/>
      <c r="AE304" s="214" t="s">
        <v>204</v>
      </c>
      <c r="AF304" s="248" t="s">
        <v>180</v>
      </c>
      <c r="AG304" s="212" t="s">
        <v>204</v>
      </c>
      <c r="AH304" s="248" t="s">
        <v>204</v>
      </c>
      <c r="AI304" s="211" t="s">
        <v>204</v>
      </c>
      <c r="AJ304" s="221"/>
      <c r="AL304" s="311"/>
      <c r="AM304" s="222"/>
      <c r="AN304" s="204"/>
      <c r="AO304" s="311"/>
      <c r="AP304" s="222"/>
      <c r="AQ304" s="204"/>
      <c r="AR304" s="311"/>
      <c r="AS304" s="222"/>
      <c r="AT304" s="204"/>
      <c r="AU304" s="311"/>
      <c r="AV304" s="222"/>
      <c r="AW304" s="202"/>
      <c r="AX304" s="221"/>
      <c r="AZ304" s="311"/>
      <c r="BA304" s="222"/>
      <c r="BB304" s="204"/>
      <c r="BC304" s="311"/>
      <c r="BD304" s="222"/>
      <c r="BE304" s="204"/>
      <c r="BF304" s="311"/>
      <c r="BG304" s="222"/>
      <c r="BH304" s="204"/>
      <c r="BI304" s="311"/>
      <c r="BJ304" s="222"/>
      <c r="BK304" s="202"/>
      <c r="BL304" s="221"/>
      <c r="BN304" s="311"/>
      <c r="BO304" s="222"/>
      <c r="BP304" s="204"/>
      <c r="BQ304" s="311"/>
      <c r="BR304" s="222"/>
      <c r="BS304" s="204"/>
      <c r="BT304" s="311"/>
      <c r="BU304" s="222"/>
      <c r="BV304" s="204"/>
      <c r="BW304" s="311"/>
      <c r="BX304" s="222"/>
      <c r="BY304" s="202"/>
      <c r="BZ304" s="221"/>
      <c r="CB304" s="311"/>
      <c r="CC304" s="222"/>
      <c r="CD304" s="204"/>
      <c r="CE304" s="311"/>
      <c r="CF304" s="222"/>
      <c r="CG304" s="204"/>
      <c r="CH304" s="311"/>
      <c r="CI304" s="222"/>
      <c r="CJ304" s="204"/>
      <c r="CK304" s="311"/>
      <c r="CL304" s="222"/>
      <c r="CM304" s="202"/>
      <c r="CN304" s="221"/>
    </row>
    <row r="305" spans="2:92" ht="43.5" thickBot="1" x14ac:dyDescent="0.25">
      <c r="B305" s="1469"/>
      <c r="C305" s="1551"/>
      <c r="D305" s="1444"/>
      <c r="E305" s="1441"/>
      <c r="F305" s="299" t="s">
        <v>330</v>
      </c>
      <c r="G305" s="315" t="str">
        <f>+'Plan de Accion apoyo transversa'!X179</f>
        <v>Matriz de avance en la implementación del MIPG</v>
      </c>
      <c r="H305" s="215" t="str">
        <f>+'Plan de Accion apoyo transversa'!AK179</f>
        <v># Matrices de avance en la implementación del MIPG elaboradas</v>
      </c>
      <c r="J305" s="218">
        <f>+'Plan de Accion apoyo transversa'!AT179</f>
        <v>0.25</v>
      </c>
      <c r="K305" s="476">
        <f>+'Plan de Accion apoyo transversa'!CE179</f>
        <v>1</v>
      </c>
      <c r="L305" s="476">
        <f>IF(K305&gt;100%,100%,K305)</f>
        <v>1</v>
      </c>
      <c r="M305" s="476">
        <f>+'Plan de Accion apoyo transversa'!AX179</f>
        <v>0.25</v>
      </c>
      <c r="N305" s="476">
        <f t="shared" si="258"/>
        <v>0.25</v>
      </c>
      <c r="O305" s="478">
        <f>+N305</f>
        <v>0.25</v>
      </c>
      <c r="P305" s="213"/>
      <c r="Q305" s="218">
        <f>+'Plan de Accion apoyo transversa'!BD179</f>
        <v>0</v>
      </c>
      <c r="R305" s="248" t="str">
        <f>+'Plan de Accion apoyo transversa'!CG179</f>
        <v>No Prog ni Ejec</v>
      </c>
      <c r="S305" s="212" t="s">
        <v>204</v>
      </c>
      <c r="T305" s="304">
        <f>+'Plan de Accion apoyo transversa'!BH179</f>
        <v>0.25</v>
      </c>
      <c r="U305" s="304">
        <f t="shared" si="281"/>
        <v>0.25</v>
      </c>
      <c r="V305" s="211">
        <f t="shared" si="298"/>
        <v>0.25</v>
      </c>
      <c r="W305" s="213"/>
      <c r="X305" s="218">
        <f>+'Plan de Accion apoyo transversa'!BN179</f>
        <v>0.75</v>
      </c>
      <c r="Y305" s="248">
        <f>+'Plan de Accion apoyo transversa'!CI179</f>
        <v>1</v>
      </c>
      <c r="Z305" s="212">
        <f t="shared" ref="Z305:Z308" si="304">IF(Y305&gt;100%,100%,Y305)</f>
        <v>1</v>
      </c>
      <c r="AA305" s="217">
        <f>+'Plan de Accion apoyo transversa'!BR179</f>
        <v>1</v>
      </c>
      <c r="AB305" s="217">
        <f>IF(AA305&gt;100%,100%,AA305)</f>
        <v>1</v>
      </c>
      <c r="AC305" s="216">
        <f>+AB305</f>
        <v>1</v>
      </c>
      <c r="AD305" s="213"/>
      <c r="AE305" s="218">
        <f>+'Plan de Accion apoyo transversa'!BX179</f>
        <v>0</v>
      </c>
      <c r="AF305" s="248" t="str">
        <f>+'Plan de Accion apoyo transversa'!CK179</f>
        <v>No Prog ni Ejec</v>
      </c>
      <c r="AG305" s="212" t="s">
        <v>204</v>
      </c>
      <c r="AH305" s="248">
        <f>+'Plan de Accion apoyo transversa'!CB179</f>
        <v>1</v>
      </c>
      <c r="AI305" s="211">
        <f t="shared" si="283"/>
        <v>1</v>
      </c>
      <c r="AJ305" s="221"/>
      <c r="AL305" s="311"/>
      <c r="AM305" s="222"/>
      <c r="AN305" s="204"/>
      <c r="AO305" s="311"/>
      <c r="AP305" s="222"/>
      <c r="AQ305" s="204"/>
      <c r="AR305" s="311"/>
      <c r="AS305" s="222"/>
      <c r="AT305" s="204"/>
      <c r="AU305" s="311"/>
      <c r="AV305" s="222"/>
      <c r="AW305" s="202"/>
      <c r="AX305" s="221"/>
      <c r="AZ305" s="311"/>
      <c r="BA305" s="222"/>
      <c r="BB305" s="204"/>
      <c r="BC305" s="311"/>
      <c r="BD305" s="222"/>
      <c r="BE305" s="204"/>
      <c r="BF305" s="311"/>
      <c r="BG305" s="222"/>
      <c r="BH305" s="204"/>
      <c r="BI305" s="311"/>
      <c r="BJ305" s="222"/>
      <c r="BK305" s="202"/>
      <c r="BL305" s="221"/>
      <c r="BN305" s="311"/>
      <c r="BO305" s="222"/>
      <c r="BP305" s="204"/>
      <c r="BQ305" s="311"/>
      <c r="BR305" s="222"/>
      <c r="BS305" s="204"/>
      <c r="BT305" s="311"/>
      <c r="BU305" s="222"/>
      <c r="BV305" s="204"/>
      <c r="BW305" s="311"/>
      <c r="BX305" s="222"/>
      <c r="BY305" s="202"/>
      <c r="BZ305" s="221"/>
      <c r="CB305" s="311"/>
      <c r="CC305" s="222"/>
      <c r="CD305" s="204"/>
      <c r="CE305" s="311"/>
      <c r="CF305" s="222"/>
      <c r="CG305" s="204"/>
      <c r="CH305" s="311"/>
      <c r="CI305" s="222"/>
      <c r="CJ305" s="204"/>
      <c r="CK305" s="311"/>
      <c r="CL305" s="222"/>
      <c r="CM305" s="202"/>
      <c r="CN305" s="221"/>
    </row>
    <row r="306" spans="2:92" ht="100.5" thickBot="1" x14ac:dyDescent="0.25">
      <c r="B306" s="1469"/>
      <c r="C306" s="1551"/>
      <c r="D306" s="300" t="s">
        <v>204</v>
      </c>
      <c r="E306" s="315" t="s">
        <v>1187</v>
      </c>
      <c r="F306" s="1442" t="s">
        <v>336</v>
      </c>
      <c r="G306" s="315" t="str">
        <f>+'Plan de Accion apoyo transversa'!X177</f>
        <v>Reuniones de autocontrol y seguimiento a  los procesos que evidencien monitoreo a los riesgos, indicadores, planes de mejoramiento, manuales y documentos asociados</v>
      </c>
      <c r="H306" s="215" t="str">
        <f>+'Plan de Accion apoyo transversa'!AK177</f>
        <v># reuniones realizadas</v>
      </c>
      <c r="J306" s="218">
        <f>+'Plan de Accion apoyo transversa'!AT177</f>
        <v>0</v>
      </c>
      <c r="K306" s="476" t="str">
        <f>+'Plan de Accion apoyo transversa'!CE177</f>
        <v>No Prog ni Ejec</v>
      </c>
      <c r="L306" s="476" t="s">
        <v>204</v>
      </c>
      <c r="M306" s="476">
        <f>+'Plan de Accion apoyo transversa'!AX177</f>
        <v>0</v>
      </c>
      <c r="N306" s="476">
        <f t="shared" si="258"/>
        <v>0</v>
      </c>
      <c r="O306" s="478" t="s">
        <v>204</v>
      </c>
      <c r="P306" s="213"/>
      <c r="Q306" s="218">
        <f>+'Plan de Accion apoyo transversa'!BD177</f>
        <v>1</v>
      </c>
      <c r="R306" s="248">
        <f>+'Plan de Accion apoyo transversa'!CG177</f>
        <v>1</v>
      </c>
      <c r="S306" s="212">
        <f t="shared" si="297"/>
        <v>1</v>
      </c>
      <c r="T306" s="304">
        <f>+'Plan de Accion apoyo transversa'!BH177</f>
        <v>0.33333333333333331</v>
      </c>
      <c r="U306" s="304">
        <f t="shared" si="281"/>
        <v>0.33333333333333331</v>
      </c>
      <c r="V306" s="211">
        <f t="shared" si="298"/>
        <v>0.33333333333333331</v>
      </c>
      <c r="W306" s="213"/>
      <c r="X306" s="218">
        <f>+'Plan de Accion apoyo transversa'!BN177</f>
        <v>1</v>
      </c>
      <c r="Y306" s="248">
        <f>+'Plan de Accion apoyo transversa'!CI177</f>
        <v>1</v>
      </c>
      <c r="Z306" s="212">
        <f t="shared" si="304"/>
        <v>1</v>
      </c>
      <c r="AA306" s="217">
        <f>+'Plan de Accion apoyo transversa'!BR177</f>
        <v>0.66666666666666663</v>
      </c>
      <c r="AB306" s="217">
        <f t="shared" si="295"/>
        <v>0.66666666666666663</v>
      </c>
      <c r="AC306" s="216">
        <f>+AB306</f>
        <v>0.66666666666666663</v>
      </c>
      <c r="AD306" s="213"/>
      <c r="AE306" s="218">
        <f>+'Plan de Accion apoyo transversa'!BX177</f>
        <v>1</v>
      </c>
      <c r="AF306" s="248">
        <f>+'Plan de Accion apoyo transversa'!CK177</f>
        <v>1</v>
      </c>
      <c r="AG306" s="212">
        <f t="shared" ref="AG306:AG308" si="305">IF(AF306&gt;100%,100%,AF306)</f>
        <v>1</v>
      </c>
      <c r="AH306" s="248">
        <f>+'Plan de Accion apoyo transversa'!CB177</f>
        <v>1</v>
      </c>
      <c r="AI306" s="211">
        <f t="shared" si="283"/>
        <v>1</v>
      </c>
      <c r="AJ306" s="221"/>
      <c r="AL306" s="311"/>
      <c r="AM306" s="222"/>
      <c r="AN306" s="204"/>
      <c r="AO306" s="311"/>
      <c r="AP306" s="222"/>
      <c r="AQ306" s="204"/>
      <c r="AR306" s="311"/>
      <c r="AS306" s="222"/>
      <c r="AT306" s="204"/>
      <c r="AU306" s="311"/>
      <c r="AV306" s="222"/>
      <c r="AW306" s="202"/>
      <c r="AX306" s="221"/>
      <c r="AZ306" s="311"/>
      <c r="BA306" s="222"/>
      <c r="BB306" s="204"/>
      <c r="BC306" s="311"/>
      <c r="BD306" s="222"/>
      <c r="BE306" s="204"/>
      <c r="BF306" s="311"/>
      <c r="BG306" s="222"/>
      <c r="BH306" s="204"/>
      <c r="BI306" s="311"/>
      <c r="BJ306" s="222"/>
      <c r="BK306" s="202"/>
      <c r="BL306" s="221"/>
      <c r="BN306" s="311"/>
      <c r="BO306" s="222"/>
      <c r="BP306" s="204"/>
      <c r="BQ306" s="311"/>
      <c r="BR306" s="222"/>
      <c r="BS306" s="204"/>
      <c r="BT306" s="311"/>
      <c r="BU306" s="222"/>
      <c r="BV306" s="204"/>
      <c r="BW306" s="311"/>
      <c r="BX306" s="222"/>
      <c r="BY306" s="202"/>
      <c r="BZ306" s="221"/>
      <c r="CB306" s="311"/>
      <c r="CC306" s="222"/>
      <c r="CD306" s="204"/>
      <c r="CE306" s="311"/>
      <c r="CF306" s="222"/>
      <c r="CG306" s="204"/>
      <c r="CH306" s="311"/>
      <c r="CI306" s="222"/>
      <c r="CJ306" s="204"/>
      <c r="CK306" s="311"/>
      <c r="CL306" s="222"/>
      <c r="CM306" s="202"/>
      <c r="CN306" s="221"/>
    </row>
    <row r="307" spans="2:92" ht="100.5" thickBot="1" x14ac:dyDescent="0.25">
      <c r="B307" s="1469"/>
      <c r="C307" s="1552"/>
      <c r="D307" s="300" t="s">
        <v>204</v>
      </c>
      <c r="E307" s="315" t="s">
        <v>13</v>
      </c>
      <c r="F307" s="1444"/>
      <c r="G307" s="315" t="str">
        <f>+'Plan de Accion apoyo transversa'!X178</f>
        <v>Reuniones de autocontrol y seguimiento a  los procesos que evidencien monitoreo a los riesgos, indicadores, planes de mejoramiento, manuales y documentos asociados</v>
      </c>
      <c r="H307" s="215" t="str">
        <f>+'Plan de Accion apoyo transversa'!AK178</f>
        <v># reuniones realizadas</v>
      </c>
      <c r="J307" s="218">
        <f>+'Plan de Accion apoyo transversa'!AT178</f>
        <v>0</v>
      </c>
      <c r="K307" s="476" t="str">
        <f>+'Plan de Accion apoyo transversa'!CE178</f>
        <v>No Prog ni Ejec</v>
      </c>
      <c r="L307" s="476" t="s">
        <v>204</v>
      </c>
      <c r="M307" s="476">
        <f>+'Plan de Accion apoyo transversa'!AX178</f>
        <v>0</v>
      </c>
      <c r="N307" s="476">
        <f t="shared" ref="N307:N363" si="306">IF(M307&gt;100%,100%,M307)</f>
        <v>0</v>
      </c>
      <c r="O307" s="478" t="s">
        <v>204</v>
      </c>
      <c r="P307" s="213"/>
      <c r="Q307" s="439">
        <f>+'Plan de Accion apoyo transversa'!BD178</f>
        <v>1</v>
      </c>
      <c r="R307" s="323">
        <f>+'Plan de Accion apoyo transversa'!CG178</f>
        <v>1</v>
      </c>
      <c r="S307" s="440">
        <f t="shared" si="297"/>
        <v>1</v>
      </c>
      <c r="T307" s="324">
        <f>+'Plan de Accion apoyo transversa'!BH178</f>
        <v>0.33333333333333331</v>
      </c>
      <c r="U307" s="324">
        <f t="shared" si="281"/>
        <v>0.33333333333333331</v>
      </c>
      <c r="V307" s="442">
        <f t="shared" si="298"/>
        <v>0.33333333333333331</v>
      </c>
      <c r="W307" s="213"/>
      <c r="X307" s="439">
        <f>+'Plan de Accion apoyo transversa'!BN178</f>
        <v>1</v>
      </c>
      <c r="Y307" s="323">
        <f>+'Plan de Accion apoyo transversa'!CI178</f>
        <v>1</v>
      </c>
      <c r="Z307" s="440">
        <f t="shared" si="304"/>
        <v>1</v>
      </c>
      <c r="AA307" s="441">
        <f>+'Plan de Accion apoyo transversa'!BR178</f>
        <v>0.66666666666666663</v>
      </c>
      <c r="AB307" s="441">
        <f t="shared" si="295"/>
        <v>0.66666666666666663</v>
      </c>
      <c r="AC307" s="331">
        <f>+AB307</f>
        <v>0.66666666666666663</v>
      </c>
      <c r="AD307" s="213"/>
      <c r="AE307" s="218">
        <f>+'Plan de Accion apoyo transversa'!BX178</f>
        <v>1</v>
      </c>
      <c r="AF307" s="248">
        <f>+'Plan de Accion apoyo transversa'!CK178</f>
        <v>1</v>
      </c>
      <c r="AG307" s="212">
        <f t="shared" si="305"/>
        <v>1</v>
      </c>
      <c r="AH307" s="248">
        <f>+'Plan de Accion apoyo transversa'!CB178</f>
        <v>1</v>
      </c>
      <c r="AI307" s="211">
        <f t="shared" si="283"/>
        <v>1</v>
      </c>
      <c r="AJ307" s="221"/>
      <c r="AL307" s="311"/>
      <c r="AM307" s="222"/>
      <c r="AN307" s="204"/>
      <c r="AO307" s="311"/>
      <c r="AP307" s="222"/>
      <c r="AQ307" s="204"/>
      <c r="AR307" s="311"/>
      <c r="AS307" s="222"/>
      <c r="AT307" s="204"/>
      <c r="AU307" s="311"/>
      <c r="AV307" s="222"/>
      <c r="AW307" s="202"/>
      <c r="AX307" s="221"/>
      <c r="AZ307" s="311"/>
      <c r="BA307" s="222"/>
      <c r="BB307" s="204"/>
      <c r="BC307" s="311"/>
      <c r="BD307" s="222"/>
      <c r="BE307" s="204"/>
      <c r="BF307" s="311"/>
      <c r="BG307" s="222"/>
      <c r="BH307" s="204"/>
      <c r="BI307" s="311"/>
      <c r="BJ307" s="222"/>
      <c r="BK307" s="202"/>
      <c r="BL307" s="221"/>
      <c r="BN307" s="311"/>
      <c r="BO307" s="222"/>
      <c r="BP307" s="204"/>
      <c r="BQ307" s="311"/>
      <c r="BR307" s="222"/>
      <c r="BS307" s="204"/>
      <c r="BT307" s="311"/>
      <c r="BU307" s="222"/>
      <c r="BV307" s="204"/>
      <c r="BW307" s="311"/>
      <c r="BX307" s="222"/>
      <c r="BY307" s="202"/>
      <c r="BZ307" s="221"/>
      <c r="CB307" s="311"/>
      <c r="CC307" s="222"/>
      <c r="CD307" s="204"/>
      <c r="CE307" s="311"/>
      <c r="CF307" s="222"/>
      <c r="CG307" s="204"/>
      <c r="CH307" s="311"/>
      <c r="CI307" s="222"/>
      <c r="CJ307" s="204"/>
      <c r="CK307" s="311"/>
      <c r="CL307" s="222"/>
      <c r="CM307" s="202"/>
      <c r="CN307" s="221"/>
    </row>
    <row r="308" spans="2:92" ht="20.25" thickBot="1" x14ac:dyDescent="0.3">
      <c r="B308" s="1463" t="s">
        <v>217</v>
      </c>
      <c r="C308" s="1464"/>
      <c r="D308" s="1465"/>
      <c r="E308" s="1465"/>
      <c r="F308" s="1466"/>
      <c r="G308" s="1466"/>
      <c r="H308" s="1467"/>
      <c r="J308" s="197" t="s">
        <v>204</v>
      </c>
      <c r="K308" s="196">
        <f>AVERAGE(K209:K307)</f>
        <v>0.73171598401586635</v>
      </c>
      <c r="L308" s="196">
        <f>IF(K308&gt;100%,100%,K308)</f>
        <v>0.73171598401586635</v>
      </c>
      <c r="M308" s="196">
        <f>AVERAGE(M209:M307)</f>
        <v>0.16176032652911532</v>
      </c>
      <c r="N308" s="196">
        <f>IF(M308&gt;25%,25%,M308)</f>
        <v>0.16176032652911532</v>
      </c>
      <c r="O308" s="199">
        <f>AVERAGE(O209:O307)</f>
        <v>0.31319552583296795</v>
      </c>
      <c r="P308" s="198"/>
      <c r="Q308" s="197" t="s">
        <v>204</v>
      </c>
      <c r="R308" s="196">
        <f>AVERAGE(R209:R307)</f>
        <v>0.98568764366951633</v>
      </c>
      <c r="S308" s="196">
        <f>IF(R308&gt;100%,100%,R308)</f>
        <v>0.98568764366951633</v>
      </c>
      <c r="T308" s="196">
        <f>AVERAGE(T209:T307)</f>
        <v>0.33325941209657944</v>
      </c>
      <c r="U308" s="196">
        <f>IF(T308&gt;50%,50%,T308)</f>
        <v>0.33325941209657944</v>
      </c>
      <c r="V308" s="199">
        <f>AVERAGE(V209:V307)</f>
        <v>0.46984113836566943</v>
      </c>
      <c r="W308" s="198"/>
      <c r="X308" s="197" t="s">
        <v>204</v>
      </c>
      <c r="Y308" s="196">
        <f>AVERAGE(Y209:Y307)</f>
        <v>0.99076089088072361</v>
      </c>
      <c r="Z308" s="196">
        <f t="shared" si="304"/>
        <v>0.99076089088072361</v>
      </c>
      <c r="AA308" s="974">
        <f>AVERAGE(AA209:AA307)</f>
        <v>0.62437736973263247</v>
      </c>
      <c r="AB308" s="974">
        <f>IF(AA308&gt;75%,75%,AA308)</f>
        <v>0.62437736973263247</v>
      </c>
      <c r="AC308" s="975">
        <f>AVERAGE(AC209:AC307)</f>
        <v>0.70158988377288189</v>
      </c>
      <c r="AD308" s="198"/>
      <c r="AE308" s="197" t="s">
        <v>204</v>
      </c>
      <c r="AF308" s="196">
        <f>AVERAGE(AF209:AF307)</f>
        <v>0.95974196655910049</v>
      </c>
      <c r="AG308" s="196">
        <f t="shared" si="305"/>
        <v>0.95974196655910049</v>
      </c>
      <c r="AH308" s="196">
        <f>AVERAGE(AH209:AH307)</f>
        <v>0.88495159529571943</v>
      </c>
      <c r="AI308" s="199">
        <f>AVERAGE(AI209:AI307)</f>
        <v>0.88112017767119843</v>
      </c>
      <c r="AL308" s="193"/>
      <c r="AM308" s="195"/>
      <c r="AN308" s="194"/>
      <c r="AO308" s="193"/>
      <c r="AP308" s="192"/>
      <c r="AQ308" s="194"/>
      <c r="AR308" s="193"/>
      <c r="AS308" s="192"/>
      <c r="AT308" s="194"/>
      <c r="AU308" s="193"/>
      <c r="AV308" s="192"/>
      <c r="AZ308" s="193"/>
      <c r="BA308" s="195"/>
      <c r="BB308" s="194"/>
      <c r="BC308" s="193"/>
      <c r="BD308" s="192"/>
      <c r="BE308" s="194"/>
      <c r="BF308" s="193"/>
      <c r="BG308" s="192"/>
      <c r="BH308" s="194"/>
      <c r="BI308" s="193"/>
      <c r="BJ308" s="192"/>
      <c r="BN308" s="193"/>
      <c r="BO308" s="195"/>
      <c r="BP308" s="194"/>
      <c r="BQ308" s="193"/>
      <c r="BR308" s="192"/>
      <c r="BS308" s="194"/>
      <c r="BT308" s="193"/>
      <c r="BU308" s="192"/>
      <c r="BV308" s="194"/>
      <c r="BW308" s="193"/>
      <c r="BX308" s="192"/>
      <c r="CB308" s="193"/>
      <c r="CC308" s="195"/>
      <c r="CD308" s="194"/>
      <c r="CE308" s="193"/>
      <c r="CF308" s="192"/>
      <c r="CG308" s="194"/>
      <c r="CH308" s="193"/>
      <c r="CI308" s="192"/>
      <c r="CJ308" s="194"/>
      <c r="CK308" s="193"/>
      <c r="CL308" s="192"/>
    </row>
    <row r="309" spans="2:92" ht="106.5" customHeight="1" x14ac:dyDescent="0.2">
      <c r="B309" s="1468" t="s">
        <v>1154</v>
      </c>
      <c r="C309" s="1459" t="s">
        <v>94</v>
      </c>
      <c r="D309" s="1473" t="s">
        <v>204</v>
      </c>
      <c r="E309" s="1553" t="s">
        <v>14</v>
      </c>
      <c r="F309" s="1473" t="s">
        <v>1179</v>
      </c>
      <c r="G309" s="308" t="str">
        <f>+'Plan de Accion apoyo transversa'!X56</f>
        <v>Jornada de socialización y divulgación de las Políticas de SST y Prevención de alcohol y drogas a todos los servidores públicos y partes interesadas realizada</v>
      </c>
      <c r="H309" s="224" t="str">
        <f>+'Plan de Accion apoyo transversa'!AK56</f>
        <v># de actividades realizadas</v>
      </c>
      <c r="J309" s="218">
        <f>+'Plan de Accion apoyo transversa'!AT56</f>
        <v>1</v>
      </c>
      <c r="K309" s="476">
        <f>+'Plan de Accion apoyo transversa'!CE56</f>
        <v>1</v>
      </c>
      <c r="L309" s="476">
        <f>IF(K309&gt;100%,100%,K309)</f>
        <v>1</v>
      </c>
      <c r="M309" s="476">
        <f>+'Plan de Accion apoyo transversa'!AX56</f>
        <v>1</v>
      </c>
      <c r="N309" s="476">
        <f t="shared" si="306"/>
        <v>1</v>
      </c>
      <c r="O309" s="478">
        <f>+N309</f>
        <v>1</v>
      </c>
      <c r="P309" s="213"/>
      <c r="Q309" s="218">
        <f>+'Plan de Accion apoyo transversa'!BD56</f>
        <v>0</v>
      </c>
      <c r="R309" s="304" t="str">
        <f>+'Plan de Accion apoyo transversa'!CG56</f>
        <v>No Prog ni Ejec</v>
      </c>
      <c r="S309" s="212" t="s">
        <v>204</v>
      </c>
      <c r="T309" s="304">
        <f>+'Plan de Accion apoyo transversa'!BH56</f>
        <v>1</v>
      </c>
      <c r="U309" s="304">
        <f>IF(T309&gt;100%,100%,T309)</f>
        <v>1</v>
      </c>
      <c r="V309" s="211">
        <f>+U309</f>
        <v>1</v>
      </c>
      <c r="W309" s="213"/>
      <c r="X309" s="218">
        <f>+'Plan de Accion apoyo transversa'!BN56</f>
        <v>0</v>
      </c>
      <c r="Y309" s="304" t="str">
        <f>+'Plan de Accion apoyo transversa'!CI56</f>
        <v>No Prog ni Ejec</v>
      </c>
      <c r="Z309" s="212" t="s">
        <v>204</v>
      </c>
      <c r="AA309" s="289">
        <f>+'Plan de Accion apoyo transversa'!BR56</f>
        <v>1</v>
      </c>
      <c r="AB309" s="289">
        <f>IF(AA309&gt;100%,100%,AA309)</f>
        <v>1</v>
      </c>
      <c r="AC309" s="332">
        <f>+AB309</f>
        <v>1</v>
      </c>
      <c r="AD309" s="213"/>
      <c r="AE309" s="218">
        <f>+'Plan de Accion apoyo transversa'!BX56</f>
        <v>0</v>
      </c>
      <c r="AF309" s="304" t="str">
        <f>+'Plan de Accion apoyo transversa'!CK56</f>
        <v>No Prog ni Ejec</v>
      </c>
      <c r="AG309" s="212" t="s">
        <v>204</v>
      </c>
      <c r="AH309" s="304">
        <f>+'Plan de Accion apoyo transversa'!CB56</f>
        <v>1</v>
      </c>
      <c r="AI309" s="211">
        <f>IF(AH309&gt;100%,100%,AH309)</f>
        <v>1</v>
      </c>
      <c r="AJ309" s="1505"/>
      <c r="AL309" s="1503"/>
      <c r="AM309" s="1499"/>
      <c r="AN309" s="204"/>
      <c r="AO309" s="1500"/>
      <c r="AP309" s="1499"/>
      <c r="AQ309" s="204"/>
      <c r="AR309" s="1499"/>
      <c r="AS309" s="1499"/>
      <c r="AT309" s="204"/>
      <c r="AU309" s="1499"/>
      <c r="AV309" s="1499"/>
      <c r="AW309" s="202"/>
      <c r="AX309" s="1506"/>
      <c r="AZ309" s="1503"/>
      <c r="BA309" s="1499"/>
      <c r="BB309" s="204"/>
      <c r="BC309" s="1500"/>
      <c r="BD309" s="1499"/>
      <c r="BE309" s="204"/>
      <c r="BF309" s="1499"/>
      <c r="BG309" s="1499"/>
      <c r="BH309" s="204"/>
      <c r="BI309" s="1499"/>
      <c r="BJ309" s="1499"/>
      <c r="BK309" s="202"/>
      <c r="BL309" s="1506"/>
      <c r="BN309" s="1503"/>
      <c r="BO309" s="1499"/>
      <c r="BP309" s="204"/>
      <c r="BQ309" s="1500"/>
      <c r="BR309" s="1499"/>
      <c r="BS309" s="204"/>
      <c r="BT309" s="1499"/>
      <c r="BU309" s="1499"/>
      <c r="BV309" s="204"/>
      <c r="BW309" s="1499"/>
      <c r="BX309" s="1499"/>
      <c r="BY309" s="202"/>
      <c r="BZ309" s="1506"/>
      <c r="CB309" s="1503"/>
      <c r="CC309" s="1499"/>
      <c r="CD309" s="204"/>
      <c r="CE309" s="1500"/>
      <c r="CF309" s="1499"/>
      <c r="CG309" s="204"/>
      <c r="CH309" s="1499"/>
      <c r="CI309" s="1499"/>
      <c r="CJ309" s="204"/>
      <c r="CK309" s="1499"/>
      <c r="CL309" s="1499"/>
      <c r="CM309" s="202"/>
      <c r="CN309" s="1506"/>
    </row>
    <row r="310" spans="2:92" ht="95.25" customHeight="1" x14ac:dyDescent="0.2">
      <c r="B310" s="1468"/>
      <c r="C310" s="1471"/>
      <c r="D310" s="1437"/>
      <c r="E310" s="1462"/>
      <c r="F310" s="1437"/>
      <c r="G310" s="308" t="str">
        <f>+'Plan de Accion apoyo transversa'!X63</f>
        <v>Jornada de socialización y divulgación de los roles y responsabilidades a todos los servidores públicos y partes interesadas realizada</v>
      </c>
      <c r="H310" s="224" t="str">
        <f>+'Plan de Accion apoyo transversa'!AK63</f>
        <v># de actividades realizadas</v>
      </c>
      <c r="J310" s="218">
        <f>+'Plan de Accion apoyo transversa'!AT63</f>
        <v>1</v>
      </c>
      <c r="K310" s="476">
        <f>+'Plan de Accion apoyo transversa'!CE63</f>
        <v>1</v>
      </c>
      <c r="L310" s="476">
        <f>IF(K310&gt;100%,100%,K310)</f>
        <v>1</v>
      </c>
      <c r="M310" s="476">
        <f>+'Plan de Accion apoyo transversa'!AX63</f>
        <v>1</v>
      </c>
      <c r="N310" s="476">
        <f t="shared" si="306"/>
        <v>1</v>
      </c>
      <c r="O310" s="478">
        <f>+N310</f>
        <v>1</v>
      </c>
      <c r="P310" s="213"/>
      <c r="Q310" s="218">
        <f>+'Plan de Accion apoyo transversa'!BD63</f>
        <v>0</v>
      </c>
      <c r="R310" s="304" t="str">
        <f>+'Plan de Accion apoyo transversa'!CG63</f>
        <v>No Prog ni Ejec</v>
      </c>
      <c r="S310" s="440" t="s">
        <v>204</v>
      </c>
      <c r="T310" s="304">
        <f>+'Plan de Accion apoyo transversa'!BH63</f>
        <v>1</v>
      </c>
      <c r="U310" s="304">
        <f>IF(T310&gt;100%,100%,T310)</f>
        <v>1</v>
      </c>
      <c r="V310" s="211">
        <f>+U310</f>
        <v>1</v>
      </c>
      <c r="W310" s="213"/>
      <c r="X310" s="218">
        <f>+'Plan de Accion apoyo transversa'!BN63</f>
        <v>0</v>
      </c>
      <c r="Y310" s="304" t="str">
        <f>+'Plan de Accion apoyo transversa'!CI63</f>
        <v>No Prog ni Ejec</v>
      </c>
      <c r="Z310" s="212" t="s">
        <v>204</v>
      </c>
      <c r="AA310" s="217">
        <f>+'Plan de Accion apoyo transversa'!BR63</f>
        <v>1</v>
      </c>
      <c r="AB310" s="217">
        <f>IF(AA310&gt;100%,100%,AA310)</f>
        <v>1</v>
      </c>
      <c r="AC310" s="216">
        <f>+AB310</f>
        <v>1</v>
      </c>
      <c r="AD310" s="213"/>
      <c r="AE310" s="218">
        <f>+'Plan de Accion apoyo transversa'!BX63</f>
        <v>0</v>
      </c>
      <c r="AF310" s="304" t="str">
        <f>+'Plan de Accion apoyo transversa'!CK63</f>
        <v>No Prog ni Ejec</v>
      </c>
      <c r="AG310" s="212" t="s">
        <v>204</v>
      </c>
      <c r="AH310" s="304">
        <f>+'Plan de Accion apoyo transversa'!CB63</f>
        <v>1</v>
      </c>
      <c r="AI310" s="211">
        <f>IF(AH310&gt;100%,100%,AH310)</f>
        <v>1</v>
      </c>
      <c r="AJ310" s="1482"/>
      <c r="AL310" s="1504"/>
      <c r="AM310" s="1488"/>
      <c r="AN310" s="204"/>
      <c r="AO310" s="1501"/>
      <c r="AP310" s="1488"/>
      <c r="AQ310" s="204"/>
      <c r="AR310" s="1488"/>
      <c r="AS310" s="1488"/>
      <c r="AT310" s="204"/>
      <c r="AU310" s="1488"/>
      <c r="AV310" s="1488"/>
      <c r="AW310" s="202"/>
      <c r="AX310" s="1507"/>
      <c r="AZ310" s="1504"/>
      <c r="BA310" s="1488"/>
      <c r="BB310" s="204"/>
      <c r="BC310" s="1501"/>
      <c r="BD310" s="1488"/>
      <c r="BE310" s="204"/>
      <c r="BF310" s="1488"/>
      <c r="BG310" s="1488"/>
      <c r="BH310" s="204"/>
      <c r="BI310" s="1488"/>
      <c r="BJ310" s="1488"/>
      <c r="BK310" s="202"/>
      <c r="BL310" s="1507"/>
      <c r="BN310" s="1504"/>
      <c r="BO310" s="1488"/>
      <c r="BP310" s="204"/>
      <c r="BQ310" s="1501"/>
      <c r="BR310" s="1488"/>
      <c r="BS310" s="204"/>
      <c r="BT310" s="1488"/>
      <c r="BU310" s="1488"/>
      <c r="BV310" s="204"/>
      <c r="BW310" s="1488"/>
      <c r="BX310" s="1488"/>
      <c r="BY310" s="202"/>
      <c r="BZ310" s="1507"/>
      <c r="CB310" s="1504"/>
      <c r="CC310" s="1488"/>
      <c r="CD310" s="204"/>
      <c r="CE310" s="1501"/>
      <c r="CF310" s="1488"/>
      <c r="CG310" s="204"/>
      <c r="CH310" s="1488"/>
      <c r="CI310" s="1488"/>
      <c r="CJ310" s="204"/>
      <c r="CK310" s="1488"/>
      <c r="CL310" s="1488"/>
      <c r="CM310" s="202"/>
      <c r="CN310" s="1507"/>
    </row>
    <row r="311" spans="2:92" ht="42.75" x14ac:dyDescent="0.2">
      <c r="B311" s="1468"/>
      <c r="C311" s="1471"/>
      <c r="D311" s="1437"/>
      <c r="E311" s="1462"/>
      <c r="F311" s="1437"/>
      <c r="G311" s="308" t="str">
        <f>+'Plan de Accion apoyo transversa'!X65</f>
        <v>Jornada de divulgación del Plan de Emergencias realizada</v>
      </c>
      <c r="H311" s="224" t="str">
        <f>+'Plan de Accion apoyo transversa'!AK65</f>
        <v># de actividades realizadas</v>
      </c>
      <c r="J311" s="218">
        <f>+'Plan de Accion apoyo transversa'!AT65</f>
        <v>0</v>
      </c>
      <c r="K311" s="476">
        <f>+'Plan de Accion apoyo transversa'!CE65</f>
        <v>0</v>
      </c>
      <c r="L311" s="509">
        <f>IF(K311&gt;100%,100%,K311)</f>
        <v>0</v>
      </c>
      <c r="M311" s="476">
        <f>+'Plan de Accion apoyo transversa'!AX65</f>
        <v>0</v>
      </c>
      <c r="N311" s="476">
        <f t="shared" si="306"/>
        <v>0</v>
      </c>
      <c r="O311" s="510">
        <f>+N311</f>
        <v>0</v>
      </c>
      <c r="P311" s="213"/>
      <c r="Q311" s="218">
        <f>+'Plan de Accion apoyo transversa'!BD65</f>
        <v>0</v>
      </c>
      <c r="R311" s="304" t="s">
        <v>180</v>
      </c>
      <c r="S311" s="248" t="s">
        <v>204</v>
      </c>
      <c r="T311" s="650">
        <f>+'Plan de Accion apoyo transversa'!BH65</f>
        <v>0</v>
      </c>
      <c r="U311" s="650">
        <f>IF(T311&gt;100%,100%,T311)</f>
        <v>0</v>
      </c>
      <c r="V311" s="211">
        <f>+U311</f>
        <v>0</v>
      </c>
      <c r="W311" s="213"/>
      <c r="X311" s="218">
        <f>+'Plan de Accion apoyo transversa'!BN65</f>
        <v>0</v>
      </c>
      <c r="Y311" s="304" t="str">
        <f>+'Plan de Accion apoyo transversa'!CI65</f>
        <v>No Prog ni Ejec</v>
      </c>
      <c r="Z311" s="212" t="s">
        <v>204</v>
      </c>
      <c r="AA311" s="217">
        <f>+'Plan de Accion apoyo transversa'!BR65</f>
        <v>0</v>
      </c>
      <c r="AB311" s="217">
        <f t="shared" ref="AB311" si="307">IF(AA311&gt;100%,100%,AA311)</f>
        <v>0</v>
      </c>
      <c r="AC311" s="216">
        <f t="shared" ref="AC311" si="308">+AB311</f>
        <v>0</v>
      </c>
      <c r="AD311" s="213"/>
      <c r="AE311" s="218">
        <f>+'Plan de Accion apoyo transversa'!BX65</f>
        <v>0</v>
      </c>
      <c r="AF311" s="304" t="s">
        <v>180</v>
      </c>
      <c r="AG311" s="212" t="s">
        <v>204</v>
      </c>
      <c r="AH311" s="650">
        <f>+'Plan de Accion apoyo transversa'!CB65</f>
        <v>0</v>
      </c>
      <c r="AI311" s="211">
        <f>IF(AH311&gt;100%,100%,AH311)</f>
        <v>0</v>
      </c>
      <c r="AJ311" s="1482"/>
      <c r="AL311" s="1504"/>
      <c r="AM311" s="1488"/>
      <c r="AN311" s="204"/>
      <c r="AO311" s="1501"/>
      <c r="AP311" s="1488"/>
      <c r="AQ311" s="204"/>
      <c r="AR311" s="1488"/>
      <c r="AS311" s="1488"/>
      <c r="AT311" s="204"/>
      <c r="AU311" s="1488"/>
      <c r="AV311" s="1488"/>
      <c r="AW311" s="202"/>
      <c r="AX311" s="1507"/>
      <c r="AZ311" s="1504"/>
      <c r="BA311" s="1488"/>
      <c r="BB311" s="204"/>
      <c r="BC311" s="1501"/>
      <c r="BD311" s="1488"/>
      <c r="BE311" s="204"/>
      <c r="BF311" s="1488"/>
      <c r="BG311" s="1488"/>
      <c r="BH311" s="204"/>
      <c r="BI311" s="1488"/>
      <c r="BJ311" s="1488"/>
      <c r="BK311" s="202"/>
      <c r="BL311" s="1507"/>
      <c r="BN311" s="1504"/>
      <c r="BO311" s="1488"/>
      <c r="BP311" s="204"/>
      <c r="BQ311" s="1501"/>
      <c r="BR311" s="1488"/>
      <c r="BS311" s="204"/>
      <c r="BT311" s="1488"/>
      <c r="BU311" s="1488"/>
      <c r="BV311" s="204"/>
      <c r="BW311" s="1488"/>
      <c r="BX311" s="1488"/>
      <c r="BY311" s="202"/>
      <c r="BZ311" s="1507"/>
      <c r="CB311" s="1504"/>
      <c r="CC311" s="1488"/>
      <c r="CD311" s="204"/>
      <c r="CE311" s="1501"/>
      <c r="CF311" s="1488"/>
      <c r="CG311" s="204"/>
      <c r="CH311" s="1488"/>
      <c r="CI311" s="1488"/>
      <c r="CJ311" s="204"/>
      <c r="CK311" s="1488"/>
      <c r="CL311" s="1488"/>
      <c r="CM311" s="202"/>
      <c r="CN311" s="1507"/>
    </row>
    <row r="312" spans="2:92" ht="94.5" customHeight="1" x14ac:dyDescent="0.2">
      <c r="B312" s="1468"/>
      <c r="C312" s="1471"/>
      <c r="D312" s="1437"/>
      <c r="E312" s="1462"/>
      <c r="F312" s="1438"/>
      <c r="G312" s="308" t="str">
        <f>+'Plan de Accion apoyo transversa'!X75</f>
        <v>Elementos ergonómicos adquiridos</v>
      </c>
      <c r="H312" s="224" t="str">
        <f>+'Plan de Accion apoyo transversa'!AK75</f>
        <v># Elementos ergonómicos adquiridos/ # elementos ergonómicos requeridos</v>
      </c>
      <c r="J312" s="303">
        <f>+'Plan de Accion apoyo transversa'!AT75</f>
        <v>0</v>
      </c>
      <c r="K312" s="476" t="str">
        <f>+'Plan de Accion apoyo transversa'!CE75</f>
        <v>No Prog ni Ejec</v>
      </c>
      <c r="L312" s="476" t="s">
        <v>204</v>
      </c>
      <c r="M312" s="476">
        <f>+'Plan de Accion apoyo transversa'!AX75</f>
        <v>0</v>
      </c>
      <c r="N312" s="476">
        <f t="shared" si="306"/>
        <v>0</v>
      </c>
      <c r="O312" s="478" t="s">
        <v>204</v>
      </c>
      <c r="P312" s="213"/>
      <c r="Q312" s="303">
        <f>+'Plan de Accion apoyo transversa'!BD75</f>
        <v>0</v>
      </c>
      <c r="R312" s="304" t="str">
        <f>+'Plan de Accion apoyo transversa'!CG75</f>
        <v>No Prog ni Ejec</v>
      </c>
      <c r="S312" s="248" t="s">
        <v>204</v>
      </c>
      <c r="T312" s="304">
        <f>+'Plan de Accion apoyo transversa'!BH75</f>
        <v>0</v>
      </c>
      <c r="U312" s="304">
        <f>IF(T312&gt;100%,100%,T312)</f>
        <v>0</v>
      </c>
      <c r="V312" s="211" t="s">
        <v>204</v>
      </c>
      <c r="W312" s="213"/>
      <c r="X312" s="303">
        <f>+'Plan de Accion apoyo transversa'!BN75</f>
        <v>0</v>
      </c>
      <c r="Y312" s="304" t="str">
        <f>+'Plan de Accion apoyo transversa'!CI75</f>
        <v>No Prog ni Ejec</v>
      </c>
      <c r="Z312" s="212" t="s">
        <v>204</v>
      </c>
      <c r="AA312" s="217">
        <f>+'Plan de Accion apoyo transversa'!BR75</f>
        <v>0</v>
      </c>
      <c r="AB312" s="217">
        <f>IF(AA312&gt;100%,100%,AA312)</f>
        <v>0</v>
      </c>
      <c r="AC312" s="216" t="s">
        <v>204</v>
      </c>
      <c r="AD312" s="213"/>
      <c r="AE312" s="303">
        <f>+'Plan de Accion apoyo transversa'!BX75</f>
        <v>0</v>
      </c>
      <c r="AF312" s="304" t="str">
        <f>+'Plan de Accion apoyo transversa'!CK75</f>
        <v>No Prog ni Ejec</v>
      </c>
      <c r="AG312" s="212" t="s">
        <v>204</v>
      </c>
      <c r="AH312" s="304">
        <f>+'Plan de Accion apoyo transversa'!CB75</f>
        <v>0</v>
      </c>
      <c r="AI312" s="211" t="s">
        <v>204</v>
      </c>
      <c r="AJ312" s="1482"/>
      <c r="AL312" s="1504"/>
      <c r="AM312" s="1488"/>
      <c r="AN312" s="204"/>
      <c r="AO312" s="1501"/>
      <c r="AP312" s="1488"/>
      <c r="AQ312" s="204"/>
      <c r="AR312" s="1488"/>
      <c r="AS312" s="1488"/>
      <c r="AT312" s="204"/>
      <c r="AU312" s="1488"/>
      <c r="AV312" s="1488"/>
      <c r="AW312" s="202"/>
      <c r="AX312" s="1507"/>
      <c r="AZ312" s="1504"/>
      <c r="BA312" s="1488"/>
      <c r="BB312" s="204"/>
      <c r="BC312" s="1501"/>
      <c r="BD312" s="1488"/>
      <c r="BE312" s="204"/>
      <c r="BF312" s="1488"/>
      <c r="BG312" s="1488"/>
      <c r="BH312" s="204"/>
      <c r="BI312" s="1488"/>
      <c r="BJ312" s="1488"/>
      <c r="BK312" s="202"/>
      <c r="BL312" s="1507"/>
      <c r="BN312" s="1504"/>
      <c r="BO312" s="1488"/>
      <c r="BP312" s="204"/>
      <c r="BQ312" s="1501"/>
      <c r="BR312" s="1488"/>
      <c r="BS312" s="204"/>
      <c r="BT312" s="1488"/>
      <c r="BU312" s="1488"/>
      <c r="BV312" s="204"/>
      <c r="BW312" s="1488"/>
      <c r="BX312" s="1488"/>
      <c r="BY312" s="202"/>
      <c r="BZ312" s="1507"/>
      <c r="CB312" s="1504"/>
      <c r="CC312" s="1488"/>
      <c r="CD312" s="204"/>
      <c r="CE312" s="1501"/>
      <c r="CF312" s="1488"/>
      <c r="CG312" s="204"/>
      <c r="CH312" s="1488"/>
      <c r="CI312" s="1488"/>
      <c r="CJ312" s="204"/>
      <c r="CK312" s="1488"/>
      <c r="CL312" s="1488"/>
      <c r="CM312" s="202"/>
      <c r="CN312" s="1507"/>
    </row>
    <row r="313" spans="2:92" ht="28.5" x14ac:dyDescent="0.2">
      <c r="B313" s="1468"/>
      <c r="C313" s="1471"/>
      <c r="D313" s="1437"/>
      <c r="E313" s="1462"/>
      <c r="F313" s="1442" t="s">
        <v>500</v>
      </c>
      <c r="G313" s="308" t="str">
        <f>+'Plan de Accion apoyo transversa'!X76</f>
        <v>Capacitación de Sistema de Seguridad Social realizada</v>
      </c>
      <c r="H313" s="224" t="str">
        <f>+'Plan de Accion apoyo transversa'!AK76</f>
        <v xml:space="preserve"># Capacitaciones realizadas </v>
      </c>
      <c r="J313" s="218">
        <f>+'Plan de Accion apoyo transversa'!AT76</f>
        <v>0</v>
      </c>
      <c r="K313" s="476" t="str">
        <f>+'Plan de Accion apoyo transversa'!CE76</f>
        <v>No Prog ni Ejec</v>
      </c>
      <c r="L313" s="476" t="s">
        <v>204</v>
      </c>
      <c r="M313" s="476">
        <f>+'Plan de Accion apoyo transversa'!AX76</f>
        <v>0</v>
      </c>
      <c r="N313" s="476">
        <f t="shared" si="306"/>
        <v>0</v>
      </c>
      <c r="O313" s="478" t="s">
        <v>204</v>
      </c>
      <c r="P313" s="213"/>
      <c r="Q313" s="218">
        <f>+'Plan de Accion apoyo transversa'!BD76</f>
        <v>0</v>
      </c>
      <c r="R313" s="304">
        <f>+'Plan de Accion apoyo transversa'!CG76</f>
        <v>0</v>
      </c>
      <c r="S313" s="248">
        <f>IF(R313&gt;100%,100%,R313)</f>
        <v>0</v>
      </c>
      <c r="T313" s="304">
        <f>+'Plan de Accion apoyo transversa'!BH76</f>
        <v>0</v>
      </c>
      <c r="U313" s="304">
        <f t="shared" ref="U313:U330" si="309">IF(T313&gt;100%,100%,T313)</f>
        <v>0</v>
      </c>
      <c r="V313" s="211">
        <f>+U313</f>
        <v>0</v>
      </c>
      <c r="W313" s="213"/>
      <c r="X313" s="218">
        <f>+'Plan de Accion apoyo transversa'!BN76</f>
        <v>0</v>
      </c>
      <c r="Y313" s="304" t="str">
        <f>+'Plan de Accion apoyo transversa'!CI76</f>
        <v>No Prog ni Ejec</v>
      </c>
      <c r="Z313" s="212" t="s">
        <v>204</v>
      </c>
      <c r="AA313" s="217">
        <f>+'Plan de Accion apoyo transversa'!BR76</f>
        <v>0</v>
      </c>
      <c r="AB313" s="217">
        <f t="shared" ref="AB313:AB330" si="310">IF(AA313&gt;100%,100%,AA313)</f>
        <v>0</v>
      </c>
      <c r="AC313" s="216">
        <f t="shared" ref="AC313:AC330" si="311">+AB313</f>
        <v>0</v>
      </c>
      <c r="AD313" s="213"/>
      <c r="AE313" s="218">
        <f>+'Plan de Accion apoyo transversa'!BX76</f>
        <v>0</v>
      </c>
      <c r="AF313" s="304" t="str">
        <f>+'Plan de Accion apoyo transversa'!CK76</f>
        <v>No Prog ni Ejec</v>
      </c>
      <c r="AG313" s="212" t="s">
        <v>204</v>
      </c>
      <c r="AH313" s="304">
        <f>+'Plan de Accion apoyo transversa'!CB76</f>
        <v>0</v>
      </c>
      <c r="AI313" s="211">
        <f t="shared" ref="AI313:AI330" si="312">IF(AH313&gt;100%,100%,AH313)</f>
        <v>0</v>
      </c>
      <c r="AJ313" s="1482"/>
      <c r="AL313" s="1504"/>
      <c r="AM313" s="1488"/>
      <c r="AN313" s="204"/>
      <c r="AO313" s="1501"/>
      <c r="AP313" s="1488"/>
      <c r="AQ313" s="204"/>
      <c r="AR313" s="1488"/>
      <c r="AS313" s="1488"/>
      <c r="AT313" s="204"/>
      <c r="AU313" s="1488"/>
      <c r="AV313" s="1488"/>
      <c r="AW313" s="202"/>
      <c r="AX313" s="1507"/>
      <c r="AZ313" s="1504"/>
      <c r="BA313" s="1488"/>
      <c r="BB313" s="204"/>
      <c r="BC313" s="1501"/>
      <c r="BD313" s="1488"/>
      <c r="BE313" s="204"/>
      <c r="BF313" s="1488"/>
      <c r="BG313" s="1488"/>
      <c r="BH313" s="204"/>
      <c r="BI313" s="1488"/>
      <c r="BJ313" s="1488"/>
      <c r="BK313" s="202"/>
      <c r="BL313" s="1507"/>
      <c r="BN313" s="1504"/>
      <c r="BO313" s="1488"/>
      <c r="BP313" s="204"/>
      <c r="BQ313" s="1501"/>
      <c r="BR313" s="1488"/>
      <c r="BS313" s="204"/>
      <c r="BT313" s="1488"/>
      <c r="BU313" s="1488"/>
      <c r="BV313" s="204"/>
      <c r="BW313" s="1488"/>
      <c r="BX313" s="1488"/>
      <c r="BY313" s="202"/>
      <c r="BZ313" s="1507"/>
      <c r="CB313" s="1504"/>
      <c r="CC313" s="1488"/>
      <c r="CD313" s="204"/>
      <c r="CE313" s="1501"/>
      <c r="CF313" s="1488"/>
      <c r="CG313" s="204"/>
      <c r="CH313" s="1488"/>
      <c r="CI313" s="1488"/>
      <c r="CJ313" s="204"/>
      <c r="CK313" s="1488"/>
      <c r="CL313" s="1488"/>
      <c r="CM313" s="202"/>
      <c r="CN313" s="1507"/>
    </row>
    <row r="314" spans="2:92" ht="22.5" customHeight="1" x14ac:dyDescent="0.2">
      <c r="B314" s="1468"/>
      <c r="C314" s="1471"/>
      <c r="D314" s="1437"/>
      <c r="E314" s="1462"/>
      <c r="F314" s="1443"/>
      <c r="G314" s="308" t="str">
        <f>+'Plan de Accion apoyo transversa'!X77</f>
        <v>Capacitación de Administración de personal sector publico y legislación laboral realizada</v>
      </c>
      <c r="H314" s="224" t="str">
        <f>+'Plan de Accion apoyo transversa'!AK77</f>
        <v xml:space="preserve"># Capacitaciones realizadas </v>
      </c>
      <c r="J314" s="218">
        <f>+'Plan de Accion apoyo transversa'!AT77</f>
        <v>0</v>
      </c>
      <c r="K314" s="476" t="str">
        <f>+'Plan de Accion apoyo transversa'!CE77</f>
        <v>No Prog ni Ejec</v>
      </c>
      <c r="L314" s="476" t="s">
        <v>204</v>
      </c>
      <c r="M314" s="476">
        <f>+'Plan de Accion apoyo transversa'!AX77</f>
        <v>0</v>
      </c>
      <c r="N314" s="476">
        <f t="shared" si="306"/>
        <v>0</v>
      </c>
      <c r="O314" s="478" t="s">
        <v>204</v>
      </c>
      <c r="P314" s="213"/>
      <c r="Q314" s="218">
        <f>+'Plan de Accion apoyo transversa'!BD77</f>
        <v>0</v>
      </c>
      <c r="R314" s="304" t="str">
        <f>+'Plan de Accion apoyo transversa'!CG77</f>
        <v>No Prog ni Ejec</v>
      </c>
      <c r="S314" s="248" t="s">
        <v>204</v>
      </c>
      <c r="T314" s="304">
        <f>+'Plan de Accion apoyo transversa'!BH77</f>
        <v>0</v>
      </c>
      <c r="U314" s="304">
        <f t="shared" si="309"/>
        <v>0</v>
      </c>
      <c r="V314" s="211" t="s">
        <v>204</v>
      </c>
      <c r="W314" s="213"/>
      <c r="X314" s="218">
        <f>+'Plan de Accion apoyo transversa'!BN77</f>
        <v>1</v>
      </c>
      <c r="Y314" s="304">
        <f>+'Plan de Accion apoyo transversa'!CI77</f>
        <v>1</v>
      </c>
      <c r="Z314" s="212">
        <f>IF(Y314&gt;100%,100%,Y314)</f>
        <v>1</v>
      </c>
      <c r="AA314" s="217">
        <f>+'Plan de Accion apoyo transversa'!BR77</f>
        <v>1</v>
      </c>
      <c r="AB314" s="217">
        <f t="shared" si="310"/>
        <v>1</v>
      </c>
      <c r="AC314" s="216">
        <f t="shared" si="311"/>
        <v>1</v>
      </c>
      <c r="AD314" s="213"/>
      <c r="AE314" s="218">
        <f>+'Plan de Accion apoyo transversa'!BX77</f>
        <v>0</v>
      </c>
      <c r="AF314" s="304" t="str">
        <f>+'Plan de Accion apoyo transversa'!CK77</f>
        <v>No Prog ni Ejec</v>
      </c>
      <c r="AG314" s="212" t="s">
        <v>204</v>
      </c>
      <c r="AH314" s="304">
        <f>+'Plan de Accion apoyo transversa'!CB77</f>
        <v>1</v>
      </c>
      <c r="AI314" s="211">
        <f t="shared" si="312"/>
        <v>1</v>
      </c>
      <c r="AJ314" s="1482"/>
      <c r="AL314" s="1504"/>
      <c r="AM314" s="1488"/>
      <c r="AN314" s="204"/>
      <c r="AO314" s="1501"/>
      <c r="AP314" s="1488"/>
      <c r="AQ314" s="204"/>
      <c r="AR314" s="1488"/>
      <c r="AS314" s="1488"/>
      <c r="AT314" s="204"/>
      <c r="AU314" s="1488"/>
      <c r="AV314" s="1488"/>
      <c r="AW314" s="202"/>
      <c r="AX314" s="1507"/>
      <c r="AZ314" s="1504"/>
      <c r="BA314" s="1488"/>
      <c r="BB314" s="204"/>
      <c r="BC314" s="1501"/>
      <c r="BD314" s="1488"/>
      <c r="BE314" s="204"/>
      <c r="BF314" s="1488"/>
      <c r="BG314" s="1488"/>
      <c r="BH314" s="204"/>
      <c r="BI314" s="1488"/>
      <c r="BJ314" s="1488"/>
      <c r="BK314" s="202"/>
      <c r="BL314" s="1507"/>
      <c r="BN314" s="1504"/>
      <c r="BO314" s="1488"/>
      <c r="BP314" s="204"/>
      <c r="BQ314" s="1501"/>
      <c r="BR314" s="1488"/>
      <c r="BS314" s="204"/>
      <c r="BT314" s="1488"/>
      <c r="BU314" s="1488"/>
      <c r="BV314" s="204"/>
      <c r="BW314" s="1488"/>
      <c r="BX314" s="1488"/>
      <c r="BY314" s="202"/>
      <c r="BZ314" s="1507"/>
      <c r="CB314" s="1504"/>
      <c r="CC314" s="1488"/>
      <c r="CD314" s="204"/>
      <c r="CE314" s="1501"/>
      <c r="CF314" s="1488"/>
      <c r="CG314" s="204"/>
      <c r="CH314" s="1488"/>
      <c r="CI314" s="1488"/>
      <c r="CJ314" s="204"/>
      <c r="CK314" s="1488"/>
      <c r="CL314" s="1488"/>
      <c r="CM314" s="202"/>
      <c r="CN314" s="1507"/>
    </row>
    <row r="315" spans="2:92" ht="22.5" customHeight="1" x14ac:dyDescent="0.2">
      <c r="B315" s="1468"/>
      <c r="C315" s="1471"/>
      <c r="D315" s="1437"/>
      <c r="E315" s="1462"/>
      <c r="F315" s="1443"/>
      <c r="G315" s="308" t="str">
        <f>+'Plan de Accion apoyo transversa'!X80</f>
        <v>Capacitación de Big Data realizada</v>
      </c>
      <c r="H315" s="1475" t="str">
        <f>+'Plan de Accion apoyo transversa'!AK80</f>
        <v xml:space="preserve"># Capacitaciones realizadas </v>
      </c>
      <c r="J315" s="1592">
        <f>+'Plan de Accion apoyo transversa'!AT80</f>
        <v>0</v>
      </c>
      <c r="K315" s="1447" t="str">
        <f>+'Plan de Accion apoyo transversa'!CE80</f>
        <v>No Prog ni Ejec</v>
      </c>
      <c r="L315" s="1447" t="s">
        <v>204</v>
      </c>
      <c r="M315" s="1447">
        <f>+'Plan de Accion apoyo transversa'!AX80</f>
        <v>0</v>
      </c>
      <c r="N315" s="1447">
        <f t="shared" si="306"/>
        <v>0</v>
      </c>
      <c r="O315" s="1450" t="s">
        <v>204</v>
      </c>
      <c r="P315" s="213"/>
      <c r="Q315" s="1598">
        <f>+'Plan de Accion apoyo transversa'!BD80</f>
        <v>1</v>
      </c>
      <c r="R315" s="1447">
        <f>+'Plan de Accion apoyo transversa'!CG80</f>
        <v>1</v>
      </c>
      <c r="S315" s="1447">
        <f>IF(R315&gt;100%,100%,R315)</f>
        <v>1</v>
      </c>
      <c r="T315" s="1447">
        <f>+'Plan de Accion apoyo transversa'!BH80</f>
        <v>0.16666666666666666</v>
      </c>
      <c r="U315" s="1447">
        <f t="shared" si="309"/>
        <v>0.16666666666666666</v>
      </c>
      <c r="V315" s="1450">
        <f>+U315</f>
        <v>0.16666666666666666</v>
      </c>
      <c r="W315" s="213"/>
      <c r="X315" s="1598">
        <f>+'Plan de Accion apoyo transversa'!BN80</f>
        <v>3</v>
      </c>
      <c r="Y315" s="1447">
        <f>+'Plan de Accion apoyo transversa'!CI80</f>
        <v>1</v>
      </c>
      <c r="Z315" s="1447">
        <f t="shared" ref="Z315:Z320" si="313">IF(Y315&gt;100%,100%,Y315)</f>
        <v>1</v>
      </c>
      <c r="AA315" s="1453">
        <f>+'Plan de Accion apoyo transversa'!BR80</f>
        <v>0.66666666666666663</v>
      </c>
      <c r="AB315" s="1453">
        <f t="shared" si="310"/>
        <v>0.66666666666666663</v>
      </c>
      <c r="AC315" s="1456">
        <f t="shared" si="311"/>
        <v>0.66666666666666663</v>
      </c>
      <c r="AD315" s="213"/>
      <c r="AE315" s="1598">
        <f>+'Plan de Accion apoyo transversa'!BX80</f>
        <v>2</v>
      </c>
      <c r="AF315" s="1447">
        <f>+'Plan de Accion apoyo transversa'!CK80</f>
        <v>1</v>
      </c>
      <c r="AG315" s="1447">
        <f t="shared" ref="AG315:AG320" si="314">IF(AF315&gt;100%,100%,AF315)</f>
        <v>1</v>
      </c>
      <c r="AH315" s="1447">
        <f>+'Plan de Accion apoyo transversa'!CB80</f>
        <v>1</v>
      </c>
      <c r="AI315" s="1450">
        <f t="shared" si="312"/>
        <v>1</v>
      </c>
      <c r="AJ315" s="1482"/>
      <c r="AL315" s="1504"/>
      <c r="AM315" s="1488"/>
      <c r="AN315" s="204"/>
      <c r="AO315" s="1501"/>
      <c r="AP315" s="1488"/>
      <c r="AQ315" s="204"/>
      <c r="AR315" s="1488"/>
      <c r="AS315" s="1488"/>
      <c r="AT315" s="204"/>
      <c r="AU315" s="1488"/>
      <c r="AV315" s="1488"/>
      <c r="AW315" s="202"/>
      <c r="AX315" s="1507"/>
      <c r="AZ315" s="1504"/>
      <c r="BA315" s="1488"/>
      <c r="BB315" s="204"/>
      <c r="BC315" s="1501"/>
      <c r="BD315" s="1488"/>
      <c r="BE315" s="204"/>
      <c r="BF315" s="1488"/>
      <c r="BG315" s="1488"/>
      <c r="BH315" s="204"/>
      <c r="BI315" s="1488"/>
      <c r="BJ315" s="1488"/>
      <c r="BK315" s="202"/>
      <c r="BL315" s="1507"/>
      <c r="BN315" s="1504"/>
      <c r="BO315" s="1488"/>
      <c r="BP315" s="204"/>
      <c r="BQ315" s="1501"/>
      <c r="BR315" s="1488"/>
      <c r="BS315" s="204"/>
      <c r="BT315" s="1488"/>
      <c r="BU315" s="1488"/>
      <c r="BV315" s="204"/>
      <c r="BW315" s="1488"/>
      <c r="BX315" s="1488"/>
      <c r="BY315" s="202"/>
      <c r="BZ315" s="1507"/>
      <c r="CB315" s="1504"/>
      <c r="CC315" s="1488"/>
      <c r="CD315" s="204"/>
      <c r="CE315" s="1501"/>
      <c r="CF315" s="1488"/>
      <c r="CG315" s="204"/>
      <c r="CH315" s="1488"/>
      <c r="CI315" s="1488"/>
      <c r="CJ315" s="204"/>
      <c r="CK315" s="1488"/>
      <c r="CL315" s="1488"/>
      <c r="CM315" s="202"/>
      <c r="CN315" s="1507"/>
    </row>
    <row r="316" spans="2:92" ht="22.5" customHeight="1" x14ac:dyDescent="0.2">
      <c r="B316" s="1468"/>
      <c r="C316" s="1471"/>
      <c r="D316" s="1437"/>
      <c r="E316" s="1462"/>
      <c r="F316" s="1443"/>
      <c r="G316" s="308" t="str">
        <f>+'Plan de Accion apoyo transversa'!X81</f>
        <v>Capacitación de Finanzas, contabilidad básicas, Presupuesto Público, Gestión Presupuestal EICE realizada</v>
      </c>
      <c r="H316" s="1476"/>
      <c r="J316" s="1593"/>
      <c r="K316" s="1448"/>
      <c r="L316" s="1448"/>
      <c r="M316" s="1448"/>
      <c r="N316" s="1448"/>
      <c r="O316" s="1451"/>
      <c r="P316" s="213"/>
      <c r="Q316" s="1599"/>
      <c r="R316" s="1448"/>
      <c r="S316" s="1448"/>
      <c r="T316" s="1448"/>
      <c r="U316" s="1448"/>
      <c r="V316" s="1451"/>
      <c r="W316" s="213"/>
      <c r="X316" s="1599"/>
      <c r="Y316" s="1448"/>
      <c r="Z316" s="1448">
        <f t="shared" si="313"/>
        <v>0</v>
      </c>
      <c r="AA316" s="1454"/>
      <c r="AB316" s="1454"/>
      <c r="AC316" s="1457"/>
      <c r="AD316" s="213"/>
      <c r="AE316" s="1599"/>
      <c r="AF316" s="1448"/>
      <c r="AG316" s="1448">
        <f t="shared" si="314"/>
        <v>0</v>
      </c>
      <c r="AH316" s="1448"/>
      <c r="AI316" s="1451"/>
      <c r="AJ316" s="1482"/>
      <c r="AL316" s="1504"/>
      <c r="AM316" s="1488"/>
      <c r="AN316" s="204"/>
      <c r="AO316" s="1501"/>
      <c r="AP316" s="1488"/>
      <c r="AQ316" s="204"/>
      <c r="AR316" s="1488"/>
      <c r="AS316" s="1488"/>
      <c r="AT316" s="204"/>
      <c r="AU316" s="1488"/>
      <c r="AV316" s="1488"/>
      <c r="AW316" s="202"/>
      <c r="AX316" s="1507"/>
      <c r="AZ316" s="1504"/>
      <c r="BA316" s="1488"/>
      <c r="BB316" s="204"/>
      <c r="BC316" s="1501"/>
      <c r="BD316" s="1488"/>
      <c r="BE316" s="204"/>
      <c r="BF316" s="1488"/>
      <c r="BG316" s="1488"/>
      <c r="BH316" s="204"/>
      <c r="BI316" s="1488"/>
      <c r="BJ316" s="1488"/>
      <c r="BK316" s="202"/>
      <c r="BL316" s="1507"/>
      <c r="BN316" s="1504"/>
      <c r="BO316" s="1488"/>
      <c r="BP316" s="204"/>
      <c r="BQ316" s="1501"/>
      <c r="BR316" s="1488"/>
      <c r="BS316" s="204"/>
      <c r="BT316" s="1488"/>
      <c r="BU316" s="1488"/>
      <c r="BV316" s="204"/>
      <c r="BW316" s="1488"/>
      <c r="BX316" s="1488"/>
      <c r="BY316" s="202"/>
      <c r="BZ316" s="1507"/>
      <c r="CB316" s="1504"/>
      <c r="CC316" s="1488"/>
      <c r="CD316" s="204"/>
      <c r="CE316" s="1501"/>
      <c r="CF316" s="1488"/>
      <c r="CG316" s="204"/>
      <c r="CH316" s="1488"/>
      <c r="CI316" s="1488"/>
      <c r="CJ316" s="204"/>
      <c r="CK316" s="1488"/>
      <c r="CL316" s="1488"/>
      <c r="CM316" s="202"/>
      <c r="CN316" s="1507"/>
    </row>
    <row r="317" spans="2:92" ht="22.5" customHeight="1" x14ac:dyDescent="0.2">
      <c r="B317" s="1468"/>
      <c r="C317" s="1471"/>
      <c r="D317" s="1437"/>
      <c r="E317" s="1462"/>
      <c r="F317" s="1443"/>
      <c r="G317" s="308" t="str">
        <f>+'Plan de Accion apoyo transversa'!X82</f>
        <v>Capacitación de Estadística realizada</v>
      </c>
      <c r="H317" s="1476"/>
      <c r="J317" s="1593"/>
      <c r="K317" s="1448"/>
      <c r="L317" s="1448"/>
      <c r="M317" s="1448"/>
      <c r="N317" s="1448"/>
      <c r="O317" s="1451"/>
      <c r="P317" s="213"/>
      <c r="Q317" s="1599"/>
      <c r="R317" s="1448"/>
      <c r="S317" s="1448"/>
      <c r="T317" s="1448"/>
      <c r="U317" s="1448"/>
      <c r="V317" s="1451"/>
      <c r="W317" s="213"/>
      <c r="X317" s="1599"/>
      <c r="Y317" s="1448"/>
      <c r="Z317" s="1448">
        <f t="shared" si="313"/>
        <v>0</v>
      </c>
      <c r="AA317" s="1454"/>
      <c r="AB317" s="1454"/>
      <c r="AC317" s="1457"/>
      <c r="AD317" s="213"/>
      <c r="AE317" s="1599"/>
      <c r="AF317" s="1448"/>
      <c r="AG317" s="1448">
        <f t="shared" si="314"/>
        <v>0</v>
      </c>
      <c r="AH317" s="1448"/>
      <c r="AI317" s="1451"/>
      <c r="AJ317" s="1482"/>
      <c r="AL317" s="1504"/>
      <c r="AM317" s="1488"/>
      <c r="AN317" s="204"/>
      <c r="AO317" s="1501"/>
      <c r="AP317" s="1488"/>
      <c r="AQ317" s="204"/>
      <c r="AR317" s="1488"/>
      <c r="AS317" s="1488"/>
      <c r="AT317" s="204"/>
      <c r="AU317" s="1488"/>
      <c r="AV317" s="1488"/>
      <c r="AW317" s="202"/>
      <c r="AX317" s="1507"/>
      <c r="AZ317" s="1504"/>
      <c r="BA317" s="1488"/>
      <c r="BB317" s="204"/>
      <c r="BC317" s="1501"/>
      <c r="BD317" s="1488"/>
      <c r="BE317" s="204"/>
      <c r="BF317" s="1488"/>
      <c r="BG317" s="1488"/>
      <c r="BH317" s="204"/>
      <c r="BI317" s="1488"/>
      <c r="BJ317" s="1488"/>
      <c r="BK317" s="202"/>
      <c r="BL317" s="1507"/>
      <c r="BN317" s="1504"/>
      <c r="BO317" s="1488"/>
      <c r="BP317" s="204"/>
      <c r="BQ317" s="1501"/>
      <c r="BR317" s="1488"/>
      <c r="BS317" s="204"/>
      <c r="BT317" s="1488"/>
      <c r="BU317" s="1488"/>
      <c r="BV317" s="204"/>
      <c r="BW317" s="1488"/>
      <c r="BX317" s="1488"/>
      <c r="BY317" s="202"/>
      <c r="BZ317" s="1507"/>
      <c r="CB317" s="1504"/>
      <c r="CC317" s="1488"/>
      <c r="CD317" s="204"/>
      <c r="CE317" s="1501"/>
      <c r="CF317" s="1488"/>
      <c r="CG317" s="204"/>
      <c r="CH317" s="1488"/>
      <c r="CI317" s="1488"/>
      <c r="CJ317" s="204"/>
      <c r="CK317" s="1488"/>
      <c r="CL317" s="1488"/>
      <c r="CM317" s="202"/>
      <c r="CN317" s="1507"/>
    </row>
    <row r="318" spans="2:92" ht="22.5" customHeight="1" x14ac:dyDescent="0.2">
      <c r="B318" s="1468"/>
      <c r="C318" s="1471"/>
      <c r="D318" s="1437"/>
      <c r="E318" s="1462"/>
      <c r="F318" s="1443"/>
      <c r="G318" s="549" t="str">
        <f>+'Plan de Accion apoyo transversa'!X83</f>
        <v>Capacitación de Trabajo en equipo, comunicación asertiva realizada.</v>
      </c>
      <c r="H318" s="1476"/>
      <c r="J318" s="1593"/>
      <c r="K318" s="1448"/>
      <c r="L318" s="1448"/>
      <c r="M318" s="1448"/>
      <c r="N318" s="1448"/>
      <c r="O318" s="1451"/>
      <c r="P318" s="213"/>
      <c r="Q318" s="1599"/>
      <c r="R318" s="1448"/>
      <c r="S318" s="1448"/>
      <c r="T318" s="1448"/>
      <c r="U318" s="1448"/>
      <c r="V318" s="1451"/>
      <c r="W318" s="213"/>
      <c r="X318" s="1599"/>
      <c r="Y318" s="1448"/>
      <c r="Z318" s="1448">
        <f t="shared" si="313"/>
        <v>0</v>
      </c>
      <c r="AA318" s="1454"/>
      <c r="AB318" s="1454"/>
      <c r="AC318" s="1457"/>
      <c r="AD318" s="213"/>
      <c r="AE318" s="1599"/>
      <c r="AF318" s="1448"/>
      <c r="AG318" s="1448">
        <f t="shared" si="314"/>
        <v>0</v>
      </c>
      <c r="AH318" s="1448"/>
      <c r="AI318" s="1451"/>
      <c r="AJ318" s="1482"/>
      <c r="AL318" s="1504"/>
      <c r="AM318" s="1488"/>
      <c r="AN318" s="204"/>
      <c r="AO318" s="1501"/>
      <c r="AP318" s="1488"/>
      <c r="AQ318" s="204"/>
      <c r="AR318" s="1488"/>
      <c r="AS318" s="1488"/>
      <c r="AT318" s="204"/>
      <c r="AU318" s="1488"/>
      <c r="AV318" s="1488"/>
      <c r="AW318" s="202"/>
      <c r="AX318" s="1507"/>
      <c r="AZ318" s="1504"/>
      <c r="BA318" s="1488"/>
      <c r="BB318" s="204"/>
      <c r="BC318" s="1501"/>
      <c r="BD318" s="1488"/>
      <c r="BE318" s="204"/>
      <c r="BF318" s="1488"/>
      <c r="BG318" s="1488"/>
      <c r="BH318" s="204"/>
      <c r="BI318" s="1488"/>
      <c r="BJ318" s="1488"/>
      <c r="BK318" s="202"/>
      <c r="BL318" s="1507"/>
      <c r="BN318" s="1504"/>
      <c r="BO318" s="1488"/>
      <c r="BP318" s="204"/>
      <c r="BQ318" s="1501"/>
      <c r="BR318" s="1488"/>
      <c r="BS318" s="204"/>
      <c r="BT318" s="1488"/>
      <c r="BU318" s="1488"/>
      <c r="BV318" s="204"/>
      <c r="BW318" s="1488"/>
      <c r="BX318" s="1488"/>
      <c r="BY318" s="202"/>
      <c r="BZ318" s="1507"/>
      <c r="CB318" s="1504"/>
      <c r="CC318" s="1488"/>
      <c r="CD318" s="204"/>
      <c r="CE318" s="1501"/>
      <c r="CF318" s="1488"/>
      <c r="CG318" s="204"/>
      <c r="CH318" s="1488"/>
      <c r="CI318" s="1488"/>
      <c r="CJ318" s="204"/>
      <c r="CK318" s="1488"/>
      <c r="CL318" s="1488"/>
      <c r="CM318" s="202"/>
      <c r="CN318" s="1507"/>
    </row>
    <row r="319" spans="2:92" ht="22.5" customHeight="1" x14ac:dyDescent="0.2">
      <c r="B319" s="1468"/>
      <c r="C319" s="1471"/>
      <c r="D319" s="1437"/>
      <c r="E319" s="1462"/>
      <c r="F319" s="1443"/>
      <c r="G319" s="549" t="str">
        <f>+'Plan de Accion apoyo transversa'!X84</f>
        <v>Capacitación de Redacción realizada</v>
      </c>
      <c r="H319" s="1476"/>
      <c r="J319" s="1593"/>
      <c r="K319" s="1448"/>
      <c r="L319" s="1448"/>
      <c r="M319" s="1448"/>
      <c r="N319" s="1448"/>
      <c r="O319" s="1451"/>
      <c r="P319" s="213"/>
      <c r="Q319" s="1599"/>
      <c r="R319" s="1448"/>
      <c r="S319" s="1448"/>
      <c r="T319" s="1448"/>
      <c r="U319" s="1448"/>
      <c r="V319" s="1451"/>
      <c r="W319" s="213"/>
      <c r="X319" s="1599"/>
      <c r="Y319" s="1448"/>
      <c r="Z319" s="1448">
        <f t="shared" si="313"/>
        <v>0</v>
      </c>
      <c r="AA319" s="1454"/>
      <c r="AB319" s="1454"/>
      <c r="AC319" s="1457"/>
      <c r="AD319" s="213"/>
      <c r="AE319" s="1599"/>
      <c r="AF319" s="1448"/>
      <c r="AG319" s="1448">
        <f t="shared" si="314"/>
        <v>0</v>
      </c>
      <c r="AH319" s="1448"/>
      <c r="AI319" s="1451"/>
      <c r="AJ319" s="1482"/>
      <c r="AL319" s="1504"/>
      <c r="AM319" s="1488"/>
      <c r="AN319" s="204"/>
      <c r="AO319" s="1501"/>
      <c r="AP319" s="1488"/>
      <c r="AQ319" s="204"/>
      <c r="AR319" s="1488"/>
      <c r="AS319" s="1488"/>
      <c r="AT319" s="204"/>
      <c r="AU319" s="1488"/>
      <c r="AV319" s="1488"/>
      <c r="AW319" s="202"/>
      <c r="AX319" s="1507"/>
      <c r="AZ319" s="1504"/>
      <c r="BA319" s="1488"/>
      <c r="BB319" s="204"/>
      <c r="BC319" s="1501"/>
      <c r="BD319" s="1488"/>
      <c r="BE319" s="204"/>
      <c r="BF319" s="1488"/>
      <c r="BG319" s="1488"/>
      <c r="BH319" s="204"/>
      <c r="BI319" s="1488"/>
      <c r="BJ319" s="1488"/>
      <c r="BK319" s="202"/>
      <c r="BL319" s="1507"/>
      <c r="BN319" s="1504"/>
      <c r="BO319" s="1488"/>
      <c r="BP319" s="204"/>
      <c r="BQ319" s="1501"/>
      <c r="BR319" s="1488"/>
      <c r="BS319" s="204"/>
      <c r="BT319" s="1488"/>
      <c r="BU319" s="1488"/>
      <c r="BV319" s="204"/>
      <c r="BW319" s="1488"/>
      <c r="BX319" s="1488"/>
      <c r="BY319" s="202"/>
      <c r="BZ319" s="1507"/>
      <c r="CB319" s="1504"/>
      <c r="CC319" s="1488"/>
      <c r="CD319" s="204"/>
      <c r="CE319" s="1501"/>
      <c r="CF319" s="1488"/>
      <c r="CG319" s="204"/>
      <c r="CH319" s="1488"/>
      <c r="CI319" s="1488"/>
      <c r="CJ319" s="204"/>
      <c r="CK319" s="1488"/>
      <c r="CL319" s="1488"/>
      <c r="CM319" s="202"/>
      <c r="CN319" s="1507"/>
    </row>
    <row r="320" spans="2:92" ht="22.5" customHeight="1" x14ac:dyDescent="0.2">
      <c r="B320" s="1468"/>
      <c r="C320" s="1471"/>
      <c r="D320" s="1437"/>
      <c r="E320" s="1462"/>
      <c r="F320" s="1443"/>
      <c r="G320" s="549" t="str">
        <f>+'Plan de Accion apoyo transversa'!X85</f>
        <v>Capacitación de Código de Integridad realizada</v>
      </c>
      <c r="H320" s="1477"/>
      <c r="J320" s="1594"/>
      <c r="K320" s="1449"/>
      <c r="L320" s="1449"/>
      <c r="M320" s="1449"/>
      <c r="N320" s="1449"/>
      <c r="O320" s="1452"/>
      <c r="P320" s="213"/>
      <c r="Q320" s="1600"/>
      <c r="R320" s="1449"/>
      <c r="S320" s="1449"/>
      <c r="T320" s="1449"/>
      <c r="U320" s="1449"/>
      <c r="V320" s="1452"/>
      <c r="W320" s="213"/>
      <c r="X320" s="1600"/>
      <c r="Y320" s="1449"/>
      <c r="Z320" s="1449">
        <f t="shared" si="313"/>
        <v>0</v>
      </c>
      <c r="AA320" s="1455"/>
      <c r="AB320" s="1455"/>
      <c r="AC320" s="1458"/>
      <c r="AD320" s="213"/>
      <c r="AE320" s="1600"/>
      <c r="AF320" s="1449"/>
      <c r="AG320" s="1449">
        <f t="shared" si="314"/>
        <v>0</v>
      </c>
      <c r="AH320" s="1449"/>
      <c r="AI320" s="1452"/>
      <c r="AJ320" s="1482"/>
      <c r="AL320" s="1504"/>
      <c r="AM320" s="1488"/>
      <c r="AN320" s="204"/>
      <c r="AO320" s="1501"/>
      <c r="AP320" s="1488"/>
      <c r="AQ320" s="204"/>
      <c r="AR320" s="1488"/>
      <c r="AS320" s="1488"/>
      <c r="AT320" s="204"/>
      <c r="AU320" s="1488"/>
      <c r="AV320" s="1488"/>
      <c r="AW320" s="202"/>
      <c r="AX320" s="1507"/>
      <c r="AZ320" s="1504"/>
      <c r="BA320" s="1488"/>
      <c r="BB320" s="204"/>
      <c r="BC320" s="1501"/>
      <c r="BD320" s="1488"/>
      <c r="BE320" s="204"/>
      <c r="BF320" s="1488"/>
      <c r="BG320" s="1488"/>
      <c r="BH320" s="204"/>
      <c r="BI320" s="1488"/>
      <c r="BJ320" s="1488"/>
      <c r="BK320" s="202"/>
      <c r="BL320" s="1507"/>
      <c r="BN320" s="1504"/>
      <c r="BO320" s="1488"/>
      <c r="BP320" s="204"/>
      <c r="BQ320" s="1501"/>
      <c r="BR320" s="1488"/>
      <c r="BS320" s="204"/>
      <c r="BT320" s="1488"/>
      <c r="BU320" s="1488"/>
      <c r="BV320" s="204"/>
      <c r="BW320" s="1488"/>
      <c r="BX320" s="1488"/>
      <c r="BY320" s="202"/>
      <c r="BZ320" s="1507"/>
      <c r="CB320" s="1504"/>
      <c r="CC320" s="1488"/>
      <c r="CD320" s="204"/>
      <c r="CE320" s="1501"/>
      <c r="CF320" s="1488"/>
      <c r="CG320" s="204"/>
      <c r="CH320" s="1488"/>
      <c r="CI320" s="1488"/>
      <c r="CJ320" s="204"/>
      <c r="CK320" s="1488"/>
      <c r="CL320" s="1488"/>
      <c r="CM320" s="202"/>
      <c r="CN320" s="1507"/>
    </row>
    <row r="321" spans="2:92" ht="22.5" customHeight="1" x14ac:dyDescent="0.2">
      <c r="B321" s="1468"/>
      <c r="C321" s="1471"/>
      <c r="D321" s="1437"/>
      <c r="E321" s="1462"/>
      <c r="F321" s="1443"/>
      <c r="G321" s="308" t="str">
        <f>+'Plan de Accion apoyo transversa'!X78</f>
        <v>Capacitación de Contratación estatal realizada</v>
      </c>
      <c r="H321" s="224" t="str">
        <f>+'Plan de Accion apoyo transversa'!AK78</f>
        <v xml:space="preserve"># Capacitaciones realizadas </v>
      </c>
      <c r="J321" s="218">
        <f>+'Plan de Accion apoyo transversa'!AT78</f>
        <v>0</v>
      </c>
      <c r="K321" s="476" t="str">
        <f>+'Plan de Accion apoyo transversa'!CE78</f>
        <v>No Prog ni Ejec</v>
      </c>
      <c r="L321" s="476" t="s">
        <v>204</v>
      </c>
      <c r="M321" s="476">
        <f>+'Plan de Accion apoyo transversa'!AX78</f>
        <v>0</v>
      </c>
      <c r="N321" s="476">
        <f t="shared" si="306"/>
        <v>0</v>
      </c>
      <c r="O321" s="478" t="s">
        <v>204</v>
      </c>
      <c r="P321" s="213"/>
      <c r="Q321" s="218">
        <f>+'Plan de Accion apoyo transversa'!BD78</f>
        <v>0</v>
      </c>
      <c r="R321" s="304" t="str">
        <f>+'Plan de Accion apoyo transversa'!CG78</f>
        <v>No Prog ni Ejec</v>
      </c>
      <c r="S321" s="248" t="s">
        <v>204</v>
      </c>
      <c r="T321" s="304">
        <f>+'Plan de Accion apoyo transversa'!BH78</f>
        <v>0</v>
      </c>
      <c r="U321" s="304">
        <f t="shared" si="309"/>
        <v>0</v>
      </c>
      <c r="V321" s="211" t="s">
        <v>204</v>
      </c>
      <c r="W321" s="213"/>
      <c r="X321" s="218">
        <f>+'Plan de Accion apoyo transversa'!BN78</f>
        <v>1</v>
      </c>
      <c r="Y321" s="304">
        <f>+'Plan de Accion apoyo transversa'!CI78</f>
        <v>1</v>
      </c>
      <c r="Z321" s="212">
        <f>IF(Y321&gt;100%,100%,Y321)</f>
        <v>1</v>
      </c>
      <c r="AA321" s="217">
        <f>+'Plan de Accion apoyo transversa'!BR78</f>
        <v>1</v>
      </c>
      <c r="AB321" s="217">
        <f t="shared" si="310"/>
        <v>1</v>
      </c>
      <c r="AC321" s="216">
        <f t="shared" si="311"/>
        <v>1</v>
      </c>
      <c r="AD321" s="213"/>
      <c r="AE321" s="218">
        <f>+'Plan de Accion apoyo transversa'!BX78</f>
        <v>0</v>
      </c>
      <c r="AF321" s="304" t="str">
        <f>+'Plan de Accion apoyo transversa'!CK78</f>
        <v>No Prog ni Ejec</v>
      </c>
      <c r="AG321" s="212" t="s">
        <v>204</v>
      </c>
      <c r="AH321" s="304">
        <f>+'Plan de Accion apoyo transversa'!CB78</f>
        <v>1</v>
      </c>
      <c r="AI321" s="211">
        <f t="shared" si="312"/>
        <v>1</v>
      </c>
      <c r="AJ321" s="1482"/>
      <c r="AL321" s="1504"/>
      <c r="AM321" s="1488"/>
      <c r="AN321" s="204"/>
      <c r="AO321" s="1501"/>
      <c r="AP321" s="1488"/>
      <c r="AQ321" s="204"/>
      <c r="AR321" s="1488"/>
      <c r="AS321" s="1488"/>
      <c r="AT321" s="204"/>
      <c r="AU321" s="1488"/>
      <c r="AV321" s="1488"/>
      <c r="AW321" s="202"/>
      <c r="AX321" s="1507"/>
      <c r="AZ321" s="1504"/>
      <c r="BA321" s="1488"/>
      <c r="BB321" s="204"/>
      <c r="BC321" s="1501"/>
      <c r="BD321" s="1488"/>
      <c r="BE321" s="204"/>
      <c r="BF321" s="1488"/>
      <c r="BG321" s="1488"/>
      <c r="BH321" s="204"/>
      <c r="BI321" s="1488"/>
      <c r="BJ321" s="1488"/>
      <c r="BK321" s="202"/>
      <c r="BL321" s="1507"/>
      <c r="BN321" s="1504"/>
      <c r="BO321" s="1488"/>
      <c r="BP321" s="204"/>
      <c r="BQ321" s="1501"/>
      <c r="BR321" s="1488"/>
      <c r="BS321" s="204"/>
      <c r="BT321" s="1488"/>
      <c r="BU321" s="1488"/>
      <c r="BV321" s="204"/>
      <c r="BW321" s="1488"/>
      <c r="BX321" s="1488"/>
      <c r="BY321" s="202"/>
      <c r="BZ321" s="1507"/>
      <c r="CB321" s="1504"/>
      <c r="CC321" s="1488"/>
      <c r="CD321" s="204"/>
      <c r="CE321" s="1501"/>
      <c r="CF321" s="1488"/>
      <c r="CG321" s="204"/>
      <c r="CH321" s="1488"/>
      <c r="CI321" s="1488"/>
      <c r="CJ321" s="204"/>
      <c r="CK321" s="1488"/>
      <c r="CL321" s="1488"/>
      <c r="CM321" s="202"/>
      <c r="CN321" s="1507"/>
    </row>
    <row r="322" spans="2:92" ht="22.5" customHeight="1" x14ac:dyDescent="0.2">
      <c r="B322" s="1468"/>
      <c r="C322" s="1471"/>
      <c r="D322" s="1437"/>
      <c r="E322" s="1462"/>
      <c r="F322" s="1443"/>
      <c r="G322" s="308" t="str">
        <f>+'Plan de Accion apoyo transversa'!X79</f>
        <v>Capacitación de Salud publica realizada</v>
      </c>
      <c r="H322" s="224" t="str">
        <f>+'Plan de Accion apoyo transversa'!AK79</f>
        <v xml:space="preserve"># Capacitaciones realizadas </v>
      </c>
      <c r="J322" s="218">
        <f>+'Plan de Accion apoyo transversa'!AT79</f>
        <v>0</v>
      </c>
      <c r="K322" s="476" t="str">
        <f>+'Plan de Accion apoyo transversa'!CE79</f>
        <v>No Prog ni Ejec</v>
      </c>
      <c r="L322" s="476" t="s">
        <v>204</v>
      </c>
      <c r="M322" s="476">
        <f>+'Plan de Accion apoyo transversa'!AX79</f>
        <v>0</v>
      </c>
      <c r="N322" s="476">
        <f t="shared" si="306"/>
        <v>0</v>
      </c>
      <c r="O322" s="478" t="s">
        <v>204</v>
      </c>
      <c r="P322" s="213"/>
      <c r="Q322" s="218">
        <f>+'Plan de Accion apoyo transversa'!BD79</f>
        <v>0</v>
      </c>
      <c r="R322" s="304" t="str">
        <f>+'Plan de Accion apoyo transversa'!CG79</f>
        <v>No Prog ni Ejec</v>
      </c>
      <c r="S322" s="248" t="s">
        <v>204</v>
      </c>
      <c r="T322" s="304">
        <f>+'Plan de Accion apoyo transversa'!BH79</f>
        <v>0</v>
      </c>
      <c r="U322" s="304">
        <f t="shared" si="309"/>
        <v>0</v>
      </c>
      <c r="V322" s="211" t="s">
        <v>204</v>
      </c>
      <c r="W322" s="213"/>
      <c r="X322" s="218">
        <f>+'Plan de Accion apoyo transversa'!BN79</f>
        <v>0</v>
      </c>
      <c r="Y322" s="304" t="str">
        <f>+'Plan de Accion apoyo transversa'!CI79</f>
        <v>No Prog ni Ejec</v>
      </c>
      <c r="Z322" s="212" t="s">
        <v>204</v>
      </c>
      <c r="AA322" s="217">
        <f>+'Plan de Accion apoyo transversa'!BR79</f>
        <v>0</v>
      </c>
      <c r="AB322" s="217">
        <f t="shared" si="310"/>
        <v>0</v>
      </c>
      <c r="AC322" s="216" t="s">
        <v>204</v>
      </c>
      <c r="AD322" s="213"/>
      <c r="AE322" s="218">
        <f>+'Plan de Accion apoyo transversa'!BX79</f>
        <v>0</v>
      </c>
      <c r="AF322" s="304">
        <f>+'Plan de Accion apoyo transversa'!CK79</f>
        <v>0</v>
      </c>
      <c r="AG322" s="212">
        <f>IF(AF322&gt;100%,100%,AF322)</f>
        <v>0</v>
      </c>
      <c r="AH322" s="304">
        <f>+'Plan de Accion apoyo transversa'!CB79</f>
        <v>0</v>
      </c>
      <c r="AI322" s="211">
        <f t="shared" si="312"/>
        <v>0</v>
      </c>
      <c r="AJ322" s="1482"/>
      <c r="AL322" s="1504"/>
      <c r="AM322" s="1488"/>
      <c r="AN322" s="204"/>
      <c r="AO322" s="1501"/>
      <c r="AP322" s="1488"/>
      <c r="AQ322" s="204"/>
      <c r="AR322" s="1488"/>
      <c r="AS322" s="1488"/>
      <c r="AT322" s="204"/>
      <c r="AU322" s="1488"/>
      <c r="AV322" s="1488"/>
      <c r="AW322" s="202"/>
      <c r="AX322" s="1507"/>
      <c r="AZ322" s="1504"/>
      <c r="BA322" s="1488"/>
      <c r="BB322" s="204"/>
      <c r="BC322" s="1501"/>
      <c r="BD322" s="1488"/>
      <c r="BE322" s="204"/>
      <c r="BF322" s="1488"/>
      <c r="BG322" s="1488"/>
      <c r="BH322" s="204"/>
      <c r="BI322" s="1488"/>
      <c r="BJ322" s="1488"/>
      <c r="BK322" s="202"/>
      <c r="BL322" s="1507"/>
      <c r="BN322" s="1504"/>
      <c r="BO322" s="1488"/>
      <c r="BP322" s="204"/>
      <c r="BQ322" s="1501"/>
      <c r="BR322" s="1488"/>
      <c r="BS322" s="204"/>
      <c r="BT322" s="1488"/>
      <c r="BU322" s="1488"/>
      <c r="BV322" s="204"/>
      <c r="BW322" s="1488"/>
      <c r="BX322" s="1488"/>
      <c r="BY322" s="202"/>
      <c r="BZ322" s="1507"/>
      <c r="CB322" s="1504"/>
      <c r="CC322" s="1488"/>
      <c r="CD322" s="204"/>
      <c r="CE322" s="1501"/>
      <c r="CF322" s="1488"/>
      <c r="CG322" s="204"/>
      <c r="CH322" s="1488"/>
      <c r="CI322" s="1488"/>
      <c r="CJ322" s="204"/>
      <c r="CK322" s="1488"/>
      <c r="CL322" s="1488"/>
      <c r="CM322" s="202"/>
      <c r="CN322" s="1507"/>
    </row>
    <row r="323" spans="2:92" ht="22.5" customHeight="1" x14ac:dyDescent="0.2">
      <c r="B323" s="1468"/>
      <c r="C323" s="1471"/>
      <c r="D323" s="1437"/>
      <c r="E323" s="1462"/>
      <c r="F323" s="1443"/>
      <c r="G323" s="308" t="str">
        <f>+'Plan de Accion apoyo transversa'!X86</f>
        <v>Capacitación de Sostenibilidad ambiental realizada.</v>
      </c>
      <c r="H323" s="224" t="str">
        <f>+'Plan de Accion apoyo transversa'!AK86</f>
        <v xml:space="preserve"># Capacitaciones realizadas </v>
      </c>
      <c r="J323" s="218">
        <f>+'Plan de Accion apoyo transversa'!AT86</f>
        <v>0</v>
      </c>
      <c r="K323" s="476" t="str">
        <f>+'Plan de Accion apoyo transversa'!CE86</f>
        <v>No Prog ni Ejec</v>
      </c>
      <c r="L323" s="476" t="s">
        <v>204</v>
      </c>
      <c r="M323" s="476">
        <f>+'Plan de Accion apoyo transversa'!AX86</f>
        <v>0</v>
      </c>
      <c r="N323" s="476">
        <f t="shared" si="306"/>
        <v>0</v>
      </c>
      <c r="O323" s="478" t="s">
        <v>204</v>
      </c>
      <c r="P323" s="213"/>
      <c r="Q323" s="218">
        <f>+'Plan de Accion apoyo transversa'!BD86</f>
        <v>0</v>
      </c>
      <c r="R323" s="304" t="str">
        <f>+'Plan de Accion apoyo transversa'!CG86</f>
        <v>No Prog ni Ejec</v>
      </c>
      <c r="S323" s="248" t="s">
        <v>204</v>
      </c>
      <c r="T323" s="304">
        <f>+'Plan de Accion apoyo transversa'!BH86</f>
        <v>0</v>
      </c>
      <c r="U323" s="304">
        <f t="shared" si="309"/>
        <v>0</v>
      </c>
      <c r="V323" s="211" t="s">
        <v>204</v>
      </c>
      <c r="W323" s="213"/>
      <c r="X323" s="218">
        <f>+'Plan de Accion apoyo transversa'!BN86</f>
        <v>1</v>
      </c>
      <c r="Y323" s="304">
        <f>+'Plan de Accion apoyo transversa'!CI86</f>
        <v>1</v>
      </c>
      <c r="Z323" s="212">
        <f>IF(Y323&gt;100%,100%,Y323)</f>
        <v>1</v>
      </c>
      <c r="AA323" s="217">
        <f>+'Plan de Accion apoyo transversa'!BR86</f>
        <v>1</v>
      </c>
      <c r="AB323" s="217">
        <f t="shared" si="310"/>
        <v>1</v>
      </c>
      <c r="AC323" s="216">
        <f t="shared" si="311"/>
        <v>1</v>
      </c>
      <c r="AD323" s="213"/>
      <c r="AE323" s="218">
        <f>+'Plan de Accion apoyo transversa'!BX86</f>
        <v>0</v>
      </c>
      <c r="AF323" s="304" t="str">
        <f>+'Plan de Accion apoyo transversa'!CK86</f>
        <v>No Prog ni Ejec</v>
      </c>
      <c r="AG323" s="212" t="s">
        <v>204</v>
      </c>
      <c r="AH323" s="304">
        <f>+'Plan de Accion apoyo transversa'!CB86</f>
        <v>1</v>
      </c>
      <c r="AI323" s="211">
        <f t="shared" si="312"/>
        <v>1</v>
      </c>
      <c r="AJ323" s="1482"/>
      <c r="AL323" s="1504"/>
      <c r="AM323" s="1488"/>
      <c r="AN323" s="204"/>
      <c r="AO323" s="1501"/>
      <c r="AP323" s="1488"/>
      <c r="AQ323" s="204"/>
      <c r="AR323" s="1488"/>
      <c r="AS323" s="1488"/>
      <c r="AT323" s="204"/>
      <c r="AU323" s="1488"/>
      <c r="AV323" s="1488"/>
      <c r="AW323" s="202"/>
      <c r="AX323" s="1507"/>
      <c r="AZ323" s="1504"/>
      <c r="BA323" s="1488"/>
      <c r="BB323" s="204"/>
      <c r="BC323" s="1501"/>
      <c r="BD323" s="1488"/>
      <c r="BE323" s="204"/>
      <c r="BF323" s="1488"/>
      <c r="BG323" s="1488"/>
      <c r="BH323" s="204"/>
      <c r="BI323" s="1488"/>
      <c r="BJ323" s="1488"/>
      <c r="BK323" s="202"/>
      <c r="BL323" s="1507"/>
      <c r="BN323" s="1504"/>
      <c r="BO323" s="1488"/>
      <c r="BP323" s="204"/>
      <c r="BQ323" s="1501"/>
      <c r="BR323" s="1488"/>
      <c r="BS323" s="204"/>
      <c r="BT323" s="1488"/>
      <c r="BU323" s="1488"/>
      <c r="BV323" s="204"/>
      <c r="BW323" s="1488"/>
      <c r="BX323" s="1488"/>
      <c r="BY323" s="202"/>
      <c r="BZ323" s="1507"/>
      <c r="CB323" s="1504"/>
      <c r="CC323" s="1488"/>
      <c r="CD323" s="204"/>
      <c r="CE323" s="1501"/>
      <c r="CF323" s="1488"/>
      <c r="CG323" s="204"/>
      <c r="CH323" s="1488"/>
      <c r="CI323" s="1488"/>
      <c r="CJ323" s="204"/>
      <c r="CK323" s="1488"/>
      <c r="CL323" s="1488"/>
      <c r="CM323" s="202"/>
      <c r="CN323" s="1507"/>
    </row>
    <row r="324" spans="2:92" ht="22.5" customHeight="1" x14ac:dyDescent="0.2">
      <c r="B324" s="1468"/>
      <c r="C324" s="1471"/>
      <c r="D324" s="1437"/>
      <c r="E324" s="1462"/>
      <c r="F324" s="1443"/>
      <c r="G324" s="308" t="str">
        <f>+'Plan de Accion apoyo transversa'!X87</f>
        <v>Capacitación Buen gobierno realizada</v>
      </c>
      <c r="H324" s="224" t="str">
        <f>+'Plan de Accion apoyo transversa'!AK87</f>
        <v xml:space="preserve"># Capacitaciones realizadas </v>
      </c>
      <c r="J324" s="218">
        <f>+'Plan de Accion apoyo transversa'!AT87</f>
        <v>0</v>
      </c>
      <c r="K324" s="476" t="str">
        <f>+'Plan de Accion apoyo transversa'!CE87</f>
        <v>No Prog ni Ejec</v>
      </c>
      <c r="L324" s="476" t="s">
        <v>204</v>
      </c>
      <c r="M324" s="476">
        <f>+'Plan de Accion apoyo transversa'!AX87</f>
        <v>0</v>
      </c>
      <c r="N324" s="476">
        <f t="shared" si="306"/>
        <v>0</v>
      </c>
      <c r="O324" s="478" t="s">
        <v>204</v>
      </c>
      <c r="P324" s="213"/>
      <c r="Q324" s="218">
        <f>+'Plan de Accion apoyo transversa'!BD87</f>
        <v>0</v>
      </c>
      <c r="R324" s="304">
        <f>+'Plan de Accion apoyo transversa'!CG87</f>
        <v>0</v>
      </c>
      <c r="S324" s="248">
        <f>IF(R324&gt;100%,100%,R324)</f>
        <v>0</v>
      </c>
      <c r="T324" s="304">
        <f>+'Plan de Accion apoyo transversa'!BH87</f>
        <v>0</v>
      </c>
      <c r="U324" s="304">
        <f t="shared" si="309"/>
        <v>0</v>
      </c>
      <c r="V324" s="211">
        <f>+U324</f>
        <v>0</v>
      </c>
      <c r="W324" s="213"/>
      <c r="X324" s="218">
        <f>+'Plan de Accion apoyo transversa'!BN87</f>
        <v>0</v>
      </c>
      <c r="Y324" s="304" t="str">
        <f>+'Plan de Accion apoyo transversa'!CI87</f>
        <v>No Prog ni Ejec</v>
      </c>
      <c r="Z324" s="212" t="s">
        <v>204</v>
      </c>
      <c r="AA324" s="217">
        <f>+'Plan de Accion apoyo transversa'!BR87</f>
        <v>0</v>
      </c>
      <c r="AB324" s="217">
        <f t="shared" si="310"/>
        <v>0</v>
      </c>
      <c r="AC324" s="216">
        <f t="shared" si="311"/>
        <v>0</v>
      </c>
      <c r="AD324" s="213"/>
      <c r="AE324" s="218">
        <f>+'Plan de Accion apoyo transversa'!BX87</f>
        <v>0</v>
      </c>
      <c r="AF324" s="304" t="str">
        <f>+'Plan de Accion apoyo transversa'!CK87</f>
        <v>No Prog ni Ejec</v>
      </c>
      <c r="AG324" s="212" t="s">
        <v>204</v>
      </c>
      <c r="AH324" s="304">
        <f>+'Plan de Accion apoyo transversa'!CB87</f>
        <v>0</v>
      </c>
      <c r="AI324" s="211">
        <f t="shared" si="312"/>
        <v>0</v>
      </c>
      <c r="AJ324" s="1482"/>
      <c r="AL324" s="1504"/>
      <c r="AM324" s="1488"/>
      <c r="AN324" s="204"/>
      <c r="AO324" s="1501"/>
      <c r="AP324" s="1488"/>
      <c r="AQ324" s="204"/>
      <c r="AR324" s="1488"/>
      <c r="AS324" s="1488"/>
      <c r="AT324" s="204"/>
      <c r="AU324" s="1488"/>
      <c r="AV324" s="1488"/>
      <c r="AW324" s="202"/>
      <c r="AX324" s="1507"/>
      <c r="AZ324" s="1504"/>
      <c r="BA324" s="1488"/>
      <c r="BB324" s="204"/>
      <c r="BC324" s="1501"/>
      <c r="BD324" s="1488"/>
      <c r="BE324" s="204"/>
      <c r="BF324" s="1488"/>
      <c r="BG324" s="1488"/>
      <c r="BH324" s="204"/>
      <c r="BI324" s="1488"/>
      <c r="BJ324" s="1488"/>
      <c r="BK324" s="202"/>
      <c r="BL324" s="1507"/>
      <c r="BN324" s="1504"/>
      <c r="BO324" s="1488"/>
      <c r="BP324" s="204"/>
      <c r="BQ324" s="1501"/>
      <c r="BR324" s="1488"/>
      <c r="BS324" s="204"/>
      <c r="BT324" s="1488"/>
      <c r="BU324" s="1488"/>
      <c r="BV324" s="204"/>
      <c r="BW324" s="1488"/>
      <c r="BX324" s="1488"/>
      <c r="BY324" s="202"/>
      <c r="BZ324" s="1507"/>
      <c r="CB324" s="1504"/>
      <c r="CC324" s="1488"/>
      <c r="CD324" s="204"/>
      <c r="CE324" s="1501"/>
      <c r="CF324" s="1488"/>
      <c r="CG324" s="204"/>
      <c r="CH324" s="1488"/>
      <c r="CI324" s="1488"/>
      <c r="CJ324" s="204"/>
      <c r="CK324" s="1488"/>
      <c r="CL324" s="1488"/>
      <c r="CM324" s="202"/>
      <c r="CN324" s="1507"/>
    </row>
    <row r="325" spans="2:92" ht="22.5" customHeight="1" x14ac:dyDescent="0.2">
      <c r="B325" s="1468"/>
      <c r="C325" s="1471"/>
      <c r="D325" s="1437"/>
      <c r="E325" s="1462"/>
      <c r="F325" s="1443"/>
      <c r="G325" s="308" t="str">
        <f>+'Plan de Accion apoyo transversa'!X88</f>
        <v>Capacitación de Gestión documental realizada.</v>
      </c>
      <c r="H325" s="224" t="str">
        <f>+'Plan de Accion apoyo transversa'!AK88</f>
        <v xml:space="preserve"># Capacitaciones realizadas </v>
      </c>
      <c r="J325" s="218">
        <f>+'Plan de Accion apoyo transversa'!AT88</f>
        <v>0</v>
      </c>
      <c r="K325" s="476" t="str">
        <f>+'Plan de Accion apoyo transversa'!CE88</f>
        <v>No Prog ni Ejec</v>
      </c>
      <c r="L325" s="476" t="s">
        <v>204</v>
      </c>
      <c r="M325" s="476">
        <f>+'Plan de Accion apoyo transversa'!AX88</f>
        <v>0</v>
      </c>
      <c r="N325" s="476">
        <f t="shared" si="306"/>
        <v>0</v>
      </c>
      <c r="O325" s="478" t="s">
        <v>204</v>
      </c>
      <c r="P325" s="213"/>
      <c r="Q325" s="218">
        <f>+'Plan de Accion apoyo transversa'!BD88</f>
        <v>0</v>
      </c>
      <c r="R325" s="304" t="str">
        <f>+'Plan de Accion apoyo transversa'!CG88</f>
        <v>No Prog ni Ejec</v>
      </c>
      <c r="S325" s="248" t="s">
        <v>204</v>
      </c>
      <c r="T325" s="304">
        <f>+'Plan de Accion apoyo transversa'!BH88</f>
        <v>0</v>
      </c>
      <c r="U325" s="304">
        <f t="shared" si="309"/>
        <v>0</v>
      </c>
      <c r="V325" s="211" t="s">
        <v>204</v>
      </c>
      <c r="W325" s="213"/>
      <c r="X325" s="218">
        <f>+'Plan de Accion apoyo transversa'!BN88</f>
        <v>0</v>
      </c>
      <c r="Y325" s="304">
        <f>+'Plan de Accion apoyo transversa'!CI88</f>
        <v>0</v>
      </c>
      <c r="Z325" s="212">
        <f>IF(Y325&gt;100%,100%,Y325)</f>
        <v>0</v>
      </c>
      <c r="AA325" s="217">
        <f>+'Plan de Accion apoyo transversa'!BR88</f>
        <v>0</v>
      </c>
      <c r="AB325" s="217">
        <f t="shared" si="310"/>
        <v>0</v>
      </c>
      <c r="AC325" s="216">
        <f t="shared" si="311"/>
        <v>0</v>
      </c>
      <c r="AD325" s="213"/>
      <c r="AE325" s="218">
        <f>+'Plan de Accion apoyo transversa'!BX88</f>
        <v>1</v>
      </c>
      <c r="AF325" s="304" t="str">
        <f>+'Plan de Accion apoyo transversa'!CK88</f>
        <v>No Prog, Ejec=  1</v>
      </c>
      <c r="AG325" s="212" t="s">
        <v>204</v>
      </c>
      <c r="AH325" s="304">
        <f>+'Plan de Accion apoyo transversa'!CB88</f>
        <v>1</v>
      </c>
      <c r="AI325" s="211">
        <f t="shared" si="312"/>
        <v>1</v>
      </c>
      <c r="AJ325" s="1482"/>
      <c r="AL325" s="1504"/>
      <c r="AM325" s="1488"/>
      <c r="AN325" s="204"/>
      <c r="AO325" s="1501"/>
      <c r="AP325" s="1488"/>
      <c r="AQ325" s="204"/>
      <c r="AR325" s="1488"/>
      <c r="AS325" s="1488"/>
      <c r="AT325" s="204"/>
      <c r="AU325" s="1488"/>
      <c r="AV325" s="1488"/>
      <c r="AW325" s="202"/>
      <c r="AX325" s="1507"/>
      <c r="AZ325" s="1504"/>
      <c r="BA325" s="1488"/>
      <c r="BB325" s="204"/>
      <c r="BC325" s="1501"/>
      <c r="BD325" s="1488"/>
      <c r="BE325" s="204"/>
      <c r="BF325" s="1488"/>
      <c r="BG325" s="1488"/>
      <c r="BH325" s="204"/>
      <c r="BI325" s="1488"/>
      <c r="BJ325" s="1488"/>
      <c r="BK325" s="202"/>
      <c r="BL325" s="1507"/>
      <c r="BN325" s="1504"/>
      <c r="BO325" s="1488"/>
      <c r="BP325" s="204"/>
      <c r="BQ325" s="1501"/>
      <c r="BR325" s="1488"/>
      <c r="BS325" s="204"/>
      <c r="BT325" s="1488"/>
      <c r="BU325" s="1488"/>
      <c r="BV325" s="204"/>
      <c r="BW325" s="1488"/>
      <c r="BX325" s="1488"/>
      <c r="BY325" s="202"/>
      <c r="BZ325" s="1507"/>
      <c r="CB325" s="1504"/>
      <c r="CC325" s="1488"/>
      <c r="CD325" s="204"/>
      <c r="CE325" s="1501"/>
      <c r="CF325" s="1488"/>
      <c r="CG325" s="204"/>
      <c r="CH325" s="1488"/>
      <c r="CI325" s="1488"/>
      <c r="CJ325" s="204"/>
      <c r="CK325" s="1488"/>
      <c r="CL325" s="1488"/>
      <c r="CM325" s="202"/>
      <c r="CN325" s="1507"/>
    </row>
    <row r="326" spans="2:92" ht="22.5" customHeight="1" x14ac:dyDescent="0.2">
      <c r="B326" s="1468"/>
      <c r="C326" s="1471"/>
      <c r="D326" s="1437"/>
      <c r="E326" s="1462"/>
      <c r="F326" s="1443"/>
      <c r="G326" s="308" t="str">
        <f>+'Plan de Accion apoyo transversa'!X89</f>
        <v>Capacitación de Bilingüismo realizada</v>
      </c>
      <c r="H326" s="224" t="str">
        <f>+'Plan de Accion apoyo transversa'!AK89</f>
        <v xml:space="preserve"># Capacitaciones realizadas </v>
      </c>
      <c r="J326" s="218">
        <f>+'Plan de Accion apoyo transversa'!AT89</f>
        <v>0</v>
      </c>
      <c r="K326" s="476" t="str">
        <f>+'Plan de Accion apoyo transversa'!CE89</f>
        <v>No Prog ni Ejec</v>
      </c>
      <c r="L326" s="476" t="s">
        <v>204</v>
      </c>
      <c r="M326" s="476">
        <f>+'Plan de Accion apoyo transversa'!AX89</f>
        <v>0</v>
      </c>
      <c r="N326" s="476">
        <f t="shared" si="306"/>
        <v>0</v>
      </c>
      <c r="O326" s="478" t="s">
        <v>204</v>
      </c>
      <c r="P326" s="213"/>
      <c r="Q326" s="218">
        <f>+'Plan de Accion apoyo transversa'!BD89</f>
        <v>0</v>
      </c>
      <c r="R326" s="304" t="str">
        <f>+'Plan de Accion apoyo transversa'!CG89</f>
        <v>No Prog ni Ejec</v>
      </c>
      <c r="S326" s="248" t="s">
        <v>204</v>
      </c>
      <c r="T326" s="304">
        <f>+'Plan de Accion apoyo transversa'!BH89</f>
        <v>0</v>
      </c>
      <c r="U326" s="304">
        <f t="shared" si="309"/>
        <v>0</v>
      </c>
      <c r="V326" s="211" t="s">
        <v>204</v>
      </c>
      <c r="W326" s="213"/>
      <c r="X326" s="218">
        <f>+'Plan de Accion apoyo transversa'!BN89</f>
        <v>1</v>
      </c>
      <c r="Y326" s="304" t="str">
        <f>+'Plan de Accion apoyo transversa'!CI89</f>
        <v>No Prog, Ejec=  1</v>
      </c>
      <c r="Z326" s="212">
        <f>IF(Y326&gt;100%,100%,Y326)</f>
        <v>1</v>
      </c>
      <c r="AA326" s="217">
        <f>+'Plan de Accion apoyo transversa'!BR89</f>
        <v>1</v>
      </c>
      <c r="AB326" s="217">
        <f t="shared" ref="AB326" si="315">IF(AA326&gt;100%,100%,AA326)</f>
        <v>1</v>
      </c>
      <c r="AC326" s="216">
        <f t="shared" ref="AC326" si="316">+AB326</f>
        <v>1</v>
      </c>
      <c r="AD326" s="213"/>
      <c r="AE326" s="218">
        <f>+'Plan de Accion apoyo transversa'!BX89</f>
        <v>0</v>
      </c>
      <c r="AF326" s="304">
        <f>+'Plan de Accion apoyo transversa'!CK89</f>
        <v>0</v>
      </c>
      <c r="AG326" s="212">
        <f>IF(AF326&gt;100%,100%,AF326)</f>
        <v>0</v>
      </c>
      <c r="AH326" s="304">
        <f>+'Plan de Accion apoyo transversa'!CB89</f>
        <v>1</v>
      </c>
      <c r="AI326" s="211">
        <f t="shared" si="312"/>
        <v>1</v>
      </c>
      <c r="AJ326" s="1482"/>
      <c r="AL326" s="1504"/>
      <c r="AM326" s="1488"/>
      <c r="AN326" s="204"/>
      <c r="AO326" s="1501"/>
      <c r="AP326" s="1488"/>
      <c r="AQ326" s="204"/>
      <c r="AR326" s="1488"/>
      <c r="AS326" s="1488"/>
      <c r="AT326" s="204"/>
      <c r="AU326" s="1488"/>
      <c r="AV326" s="1488"/>
      <c r="AW326" s="202"/>
      <c r="AX326" s="1507"/>
      <c r="AZ326" s="1504"/>
      <c r="BA326" s="1488"/>
      <c r="BB326" s="204"/>
      <c r="BC326" s="1501"/>
      <c r="BD326" s="1488"/>
      <c r="BE326" s="204"/>
      <c r="BF326" s="1488"/>
      <c r="BG326" s="1488"/>
      <c r="BH326" s="204"/>
      <c r="BI326" s="1488"/>
      <c r="BJ326" s="1488"/>
      <c r="BK326" s="202"/>
      <c r="BL326" s="1507"/>
      <c r="BN326" s="1504"/>
      <c r="BO326" s="1488"/>
      <c r="BP326" s="204"/>
      <c r="BQ326" s="1501"/>
      <c r="BR326" s="1488"/>
      <c r="BS326" s="204"/>
      <c r="BT326" s="1488"/>
      <c r="BU326" s="1488"/>
      <c r="BV326" s="204"/>
      <c r="BW326" s="1488"/>
      <c r="BX326" s="1488"/>
      <c r="BY326" s="202"/>
      <c r="BZ326" s="1507"/>
      <c r="CB326" s="1504"/>
      <c r="CC326" s="1488"/>
      <c r="CD326" s="204"/>
      <c r="CE326" s="1501"/>
      <c r="CF326" s="1488"/>
      <c r="CG326" s="204"/>
      <c r="CH326" s="1488"/>
      <c r="CI326" s="1488"/>
      <c r="CJ326" s="204"/>
      <c r="CK326" s="1488"/>
      <c r="CL326" s="1488"/>
      <c r="CM326" s="202"/>
      <c r="CN326" s="1507"/>
    </row>
    <row r="327" spans="2:92" ht="45" customHeight="1" x14ac:dyDescent="0.2">
      <c r="B327" s="1468"/>
      <c r="C327" s="1471"/>
      <c r="D327" s="1437"/>
      <c r="E327" s="1462"/>
      <c r="F327" s="1443"/>
      <c r="G327" s="308" t="str">
        <f>+'Plan de Accion apoyo transversa'!X90</f>
        <v>Capacitación de Acceso a la información realizada</v>
      </c>
      <c r="H327" s="224" t="str">
        <f>+'Plan de Accion apoyo transversa'!AK90</f>
        <v xml:space="preserve"># Capacitaciones realizadas </v>
      </c>
      <c r="J327" s="218">
        <f>+'Plan de Accion apoyo transversa'!AT90</f>
        <v>0</v>
      </c>
      <c r="K327" s="476" t="str">
        <f>+'Plan de Accion apoyo transversa'!CE90</f>
        <v>No Prog ni Ejec</v>
      </c>
      <c r="L327" s="476" t="s">
        <v>204</v>
      </c>
      <c r="M327" s="476">
        <f>+'Plan de Accion apoyo transversa'!AX90</f>
        <v>0</v>
      </c>
      <c r="N327" s="476">
        <f t="shared" si="306"/>
        <v>0</v>
      </c>
      <c r="O327" s="478" t="s">
        <v>204</v>
      </c>
      <c r="P327" s="213"/>
      <c r="Q327" s="218">
        <f>+'Plan de Accion apoyo transversa'!BD90</f>
        <v>0</v>
      </c>
      <c r="R327" s="304" t="str">
        <f>+'Plan de Accion apoyo transversa'!CG90</f>
        <v>No Prog ni Ejec</v>
      </c>
      <c r="S327" s="248" t="s">
        <v>204</v>
      </c>
      <c r="T327" s="304">
        <f>+'Plan de Accion apoyo transversa'!BH90</f>
        <v>0</v>
      </c>
      <c r="U327" s="304">
        <f t="shared" si="309"/>
        <v>0</v>
      </c>
      <c r="V327" s="211" t="s">
        <v>204</v>
      </c>
      <c r="W327" s="213"/>
      <c r="X327" s="218">
        <f>+'Plan de Accion apoyo transversa'!BN90</f>
        <v>0</v>
      </c>
      <c r="Y327" s="304" t="str">
        <f>+'Plan de Accion apoyo transversa'!CI90</f>
        <v>No Prog ni Ejec</v>
      </c>
      <c r="Z327" s="212" t="s">
        <v>204</v>
      </c>
      <c r="AA327" s="217">
        <f>+'Plan de Accion apoyo transversa'!BR90</f>
        <v>0</v>
      </c>
      <c r="AB327" s="217">
        <f t="shared" si="310"/>
        <v>0</v>
      </c>
      <c r="AC327" s="216" t="s">
        <v>204</v>
      </c>
      <c r="AD327" s="213"/>
      <c r="AE327" s="218">
        <f>+'Plan de Accion apoyo transversa'!BX90</f>
        <v>1</v>
      </c>
      <c r="AF327" s="304">
        <f>+'Plan de Accion apoyo transversa'!CK90</f>
        <v>1</v>
      </c>
      <c r="AG327" s="212">
        <f>IF(AF327&gt;100%,100%,AF327)</f>
        <v>1</v>
      </c>
      <c r="AH327" s="304">
        <f>+'Plan de Accion apoyo transversa'!CB90</f>
        <v>1</v>
      </c>
      <c r="AI327" s="211">
        <f t="shared" si="312"/>
        <v>1</v>
      </c>
      <c r="AJ327" s="1482"/>
      <c r="AL327" s="1504"/>
      <c r="AM327" s="1488"/>
      <c r="AN327" s="204"/>
      <c r="AO327" s="1501"/>
      <c r="AP327" s="1488"/>
      <c r="AQ327" s="204"/>
      <c r="AR327" s="1488"/>
      <c r="AS327" s="1488"/>
      <c r="AT327" s="204"/>
      <c r="AU327" s="1488"/>
      <c r="AV327" s="1488"/>
      <c r="AW327" s="202"/>
      <c r="AX327" s="1507"/>
      <c r="AZ327" s="1504"/>
      <c r="BA327" s="1488"/>
      <c r="BB327" s="204"/>
      <c r="BC327" s="1501"/>
      <c r="BD327" s="1488"/>
      <c r="BE327" s="204"/>
      <c r="BF327" s="1488"/>
      <c r="BG327" s="1488"/>
      <c r="BH327" s="204"/>
      <c r="BI327" s="1488"/>
      <c r="BJ327" s="1488"/>
      <c r="BK327" s="202"/>
      <c r="BL327" s="1507"/>
      <c r="BN327" s="1504"/>
      <c r="BO327" s="1488"/>
      <c r="BP327" s="204"/>
      <c r="BQ327" s="1501"/>
      <c r="BR327" s="1488"/>
      <c r="BS327" s="204"/>
      <c r="BT327" s="1488"/>
      <c r="BU327" s="1488"/>
      <c r="BV327" s="204"/>
      <c r="BW327" s="1488"/>
      <c r="BX327" s="1488"/>
      <c r="BY327" s="202"/>
      <c r="BZ327" s="1507"/>
      <c r="CB327" s="1504"/>
      <c r="CC327" s="1488"/>
      <c r="CD327" s="204"/>
      <c r="CE327" s="1501"/>
      <c r="CF327" s="1488"/>
      <c r="CG327" s="204"/>
      <c r="CH327" s="1488"/>
      <c r="CI327" s="1488"/>
      <c r="CJ327" s="204"/>
      <c r="CK327" s="1488"/>
      <c r="CL327" s="1488"/>
      <c r="CM327" s="202"/>
      <c r="CN327" s="1507"/>
    </row>
    <row r="328" spans="2:92" ht="22.5" customHeight="1" x14ac:dyDescent="0.2">
      <c r="B328" s="1468"/>
      <c r="C328" s="1471"/>
      <c r="D328" s="1437"/>
      <c r="E328" s="1462"/>
      <c r="F328" s="1443"/>
      <c r="G328" s="308" t="str">
        <f>+'Plan de Accion apoyo transversa'!X91</f>
        <v>Capacitación de Desarrollo territorial y nacional realizada</v>
      </c>
      <c r="H328" s="224" t="str">
        <f>+'Plan de Accion apoyo transversa'!AK91</f>
        <v xml:space="preserve"># Capacitaciones realizadas </v>
      </c>
      <c r="J328" s="218">
        <f>+'Plan de Accion apoyo transversa'!AT91</f>
        <v>0</v>
      </c>
      <c r="K328" s="476" t="str">
        <f>+'Plan de Accion apoyo transversa'!CE91</f>
        <v>No Prog ni Ejec</v>
      </c>
      <c r="L328" s="476" t="s">
        <v>204</v>
      </c>
      <c r="M328" s="476">
        <f>+'Plan de Accion apoyo transversa'!AX91</f>
        <v>0</v>
      </c>
      <c r="N328" s="476">
        <f t="shared" si="306"/>
        <v>0</v>
      </c>
      <c r="O328" s="478" t="s">
        <v>204</v>
      </c>
      <c r="P328" s="213"/>
      <c r="Q328" s="218">
        <f>+'Plan de Accion apoyo transversa'!BD91</f>
        <v>0</v>
      </c>
      <c r="R328" s="304" t="str">
        <f>+'Plan de Accion apoyo transversa'!CG91</f>
        <v>No Prog ni Ejec</v>
      </c>
      <c r="S328" s="248" t="s">
        <v>204</v>
      </c>
      <c r="T328" s="304">
        <f>+'Plan de Accion apoyo transversa'!BH91</f>
        <v>0</v>
      </c>
      <c r="U328" s="304">
        <f t="shared" si="309"/>
        <v>0</v>
      </c>
      <c r="V328" s="211" t="s">
        <v>204</v>
      </c>
      <c r="W328" s="213"/>
      <c r="X328" s="218">
        <f>+'Plan de Accion apoyo transversa'!BN91</f>
        <v>0</v>
      </c>
      <c r="Y328" s="304">
        <f>+'Plan de Accion apoyo transversa'!CI91</f>
        <v>0</v>
      </c>
      <c r="Z328" s="212">
        <f>IF(Y328&gt;100%,100%,Y328)</f>
        <v>0</v>
      </c>
      <c r="AA328" s="217">
        <f>+'Plan de Accion apoyo transversa'!BR91</f>
        <v>0</v>
      </c>
      <c r="AB328" s="217">
        <f t="shared" si="310"/>
        <v>0</v>
      </c>
      <c r="AC328" s="216">
        <f t="shared" si="311"/>
        <v>0</v>
      </c>
      <c r="AD328" s="213"/>
      <c r="AE328" s="218">
        <f>+'Plan de Accion apoyo transversa'!BX91</f>
        <v>0</v>
      </c>
      <c r="AF328" s="304" t="str">
        <f>+'Plan de Accion apoyo transversa'!CK91</f>
        <v>No Prog ni Ejec</v>
      </c>
      <c r="AG328" s="212" t="s">
        <v>204</v>
      </c>
      <c r="AH328" s="304">
        <f>+'Plan de Accion apoyo transversa'!CB91</f>
        <v>0</v>
      </c>
      <c r="AI328" s="211">
        <f t="shared" si="312"/>
        <v>0</v>
      </c>
      <c r="AJ328" s="1482"/>
      <c r="AL328" s="1504"/>
      <c r="AM328" s="1488"/>
      <c r="AN328" s="204"/>
      <c r="AO328" s="1501"/>
      <c r="AP328" s="1488"/>
      <c r="AQ328" s="204"/>
      <c r="AR328" s="1488"/>
      <c r="AS328" s="1488"/>
      <c r="AT328" s="204"/>
      <c r="AU328" s="1488"/>
      <c r="AV328" s="1488"/>
      <c r="AW328" s="202"/>
      <c r="AX328" s="1507"/>
      <c r="AZ328" s="1504"/>
      <c r="BA328" s="1488"/>
      <c r="BB328" s="204"/>
      <c r="BC328" s="1501"/>
      <c r="BD328" s="1488"/>
      <c r="BE328" s="204"/>
      <c r="BF328" s="1488"/>
      <c r="BG328" s="1488"/>
      <c r="BH328" s="204"/>
      <c r="BI328" s="1488"/>
      <c r="BJ328" s="1488"/>
      <c r="BK328" s="202"/>
      <c r="BL328" s="1507"/>
      <c r="BN328" s="1504"/>
      <c r="BO328" s="1488"/>
      <c r="BP328" s="204"/>
      <c r="BQ328" s="1501"/>
      <c r="BR328" s="1488"/>
      <c r="BS328" s="204"/>
      <c r="BT328" s="1488"/>
      <c r="BU328" s="1488"/>
      <c r="BV328" s="204"/>
      <c r="BW328" s="1488"/>
      <c r="BX328" s="1488"/>
      <c r="BY328" s="202"/>
      <c r="BZ328" s="1507"/>
      <c r="CB328" s="1504"/>
      <c r="CC328" s="1488"/>
      <c r="CD328" s="204"/>
      <c r="CE328" s="1501"/>
      <c r="CF328" s="1488"/>
      <c r="CG328" s="204"/>
      <c r="CH328" s="1488"/>
      <c r="CI328" s="1488"/>
      <c r="CJ328" s="204"/>
      <c r="CK328" s="1488"/>
      <c r="CL328" s="1488"/>
      <c r="CM328" s="202"/>
      <c r="CN328" s="1507"/>
    </row>
    <row r="329" spans="2:92" ht="22.5" customHeight="1" x14ac:dyDescent="0.2">
      <c r="B329" s="1468"/>
      <c r="C329" s="1471"/>
      <c r="D329" s="1437"/>
      <c r="E329" s="1462"/>
      <c r="F329" s="1443"/>
      <c r="G329" s="308" t="str">
        <f>+'Plan de Accion apoyo transversa'!X92</f>
        <v>Inducción realizada</v>
      </c>
      <c r="H329" s="224" t="str">
        <f>+'Plan de Accion apoyo transversa'!AK92</f>
        <v xml:space="preserve"># Inducciones  realizadas </v>
      </c>
      <c r="J329" s="218">
        <f>+'Plan de Accion apoyo transversa'!AT92</f>
        <v>1</v>
      </c>
      <c r="K329" s="476">
        <f>+'Plan de Accion apoyo transversa'!CE92</f>
        <v>1</v>
      </c>
      <c r="L329" s="476">
        <f>IF(K329&gt;100%,100%,K329)</f>
        <v>1</v>
      </c>
      <c r="M329" s="476">
        <f>+'Plan de Accion apoyo transversa'!AX92</f>
        <v>0.25</v>
      </c>
      <c r="N329" s="476">
        <f t="shared" si="306"/>
        <v>0.25</v>
      </c>
      <c r="O329" s="478">
        <f>+N329</f>
        <v>0.25</v>
      </c>
      <c r="P329" s="213"/>
      <c r="Q329" s="218">
        <f>+'Plan de Accion apoyo transversa'!BD92</f>
        <v>1</v>
      </c>
      <c r="R329" s="304">
        <f>+'Plan de Accion apoyo transversa'!CG92</f>
        <v>1</v>
      </c>
      <c r="S329" s="248">
        <f>IF(R329&gt;100%,100%,R329)</f>
        <v>1</v>
      </c>
      <c r="T329" s="304">
        <f>+'Plan de Accion apoyo transversa'!BH92</f>
        <v>0.5</v>
      </c>
      <c r="U329" s="304">
        <f t="shared" si="309"/>
        <v>0.5</v>
      </c>
      <c r="V329" s="211">
        <f>+U329</f>
        <v>0.5</v>
      </c>
      <c r="W329" s="213"/>
      <c r="X329" s="218">
        <f>+'Plan de Accion apoyo transversa'!BN92</f>
        <v>1</v>
      </c>
      <c r="Y329" s="304">
        <f>+'Plan de Accion apoyo transversa'!CI92</f>
        <v>1</v>
      </c>
      <c r="Z329" s="212">
        <f>IF(Y329&gt;100%,100%,Y329)</f>
        <v>1</v>
      </c>
      <c r="AA329" s="217">
        <f>+'Plan de Accion apoyo transversa'!BR92</f>
        <v>0.75</v>
      </c>
      <c r="AB329" s="217">
        <f t="shared" si="310"/>
        <v>0.75</v>
      </c>
      <c r="AC329" s="216">
        <f t="shared" si="311"/>
        <v>0.75</v>
      </c>
      <c r="AD329" s="213"/>
      <c r="AE329" s="218">
        <f>+'Plan de Accion apoyo transversa'!BX92</f>
        <v>1</v>
      </c>
      <c r="AF329" s="304">
        <f>+'Plan de Accion apoyo transversa'!CK92</f>
        <v>1</v>
      </c>
      <c r="AG329" s="212">
        <f>IF(AF329&gt;100%,100%,AF329)</f>
        <v>1</v>
      </c>
      <c r="AH329" s="304">
        <f>+'Plan de Accion apoyo transversa'!CB92</f>
        <v>1</v>
      </c>
      <c r="AI329" s="211">
        <f t="shared" si="312"/>
        <v>1</v>
      </c>
      <c r="AJ329" s="1482"/>
      <c r="AL329" s="1504"/>
      <c r="AM329" s="1488"/>
      <c r="AN329" s="204"/>
      <c r="AO329" s="1501"/>
      <c r="AP329" s="1488"/>
      <c r="AQ329" s="204"/>
      <c r="AR329" s="1488"/>
      <c r="AS329" s="1488"/>
      <c r="AT329" s="204"/>
      <c r="AU329" s="1488"/>
      <c r="AV329" s="1488"/>
      <c r="AW329" s="202"/>
      <c r="AX329" s="1507"/>
      <c r="AZ329" s="1504"/>
      <c r="BA329" s="1488"/>
      <c r="BB329" s="204"/>
      <c r="BC329" s="1501"/>
      <c r="BD329" s="1488"/>
      <c r="BE329" s="204"/>
      <c r="BF329" s="1488"/>
      <c r="BG329" s="1488"/>
      <c r="BH329" s="204"/>
      <c r="BI329" s="1488"/>
      <c r="BJ329" s="1488"/>
      <c r="BK329" s="202"/>
      <c r="BL329" s="1507"/>
      <c r="BN329" s="1504"/>
      <c r="BO329" s="1488"/>
      <c r="BP329" s="204"/>
      <c r="BQ329" s="1501"/>
      <c r="BR329" s="1488"/>
      <c r="BS329" s="204"/>
      <c r="BT329" s="1488"/>
      <c r="BU329" s="1488"/>
      <c r="BV329" s="204"/>
      <c r="BW329" s="1488"/>
      <c r="BX329" s="1488"/>
      <c r="BY329" s="202"/>
      <c r="BZ329" s="1507"/>
      <c r="CB329" s="1504"/>
      <c r="CC329" s="1488"/>
      <c r="CD329" s="204"/>
      <c r="CE329" s="1501"/>
      <c r="CF329" s="1488"/>
      <c r="CG329" s="204"/>
      <c r="CH329" s="1488"/>
      <c r="CI329" s="1488"/>
      <c r="CJ329" s="204"/>
      <c r="CK329" s="1488"/>
      <c r="CL329" s="1488"/>
      <c r="CM329" s="202"/>
      <c r="CN329" s="1507"/>
    </row>
    <row r="330" spans="2:92" ht="22.5" customHeight="1" x14ac:dyDescent="0.2">
      <c r="B330" s="1468"/>
      <c r="C330" s="1471"/>
      <c r="D330" s="1437"/>
      <c r="E330" s="1462"/>
      <c r="F330" s="1444"/>
      <c r="G330" s="308" t="str">
        <f>+'Plan de Accion apoyo transversa'!X93</f>
        <v>Reinducción realizada</v>
      </c>
      <c r="H330" s="224" t="str">
        <f>+'Plan de Accion apoyo transversa'!AK93</f>
        <v xml:space="preserve"># Reinducciones realizadas </v>
      </c>
      <c r="J330" s="218">
        <f>+'Plan de Accion apoyo transversa'!AT93</f>
        <v>0</v>
      </c>
      <c r="K330" s="476" t="str">
        <f>+'Plan de Accion apoyo transversa'!CE93</f>
        <v>No Prog ni Ejec</v>
      </c>
      <c r="L330" s="476" t="s">
        <v>204</v>
      </c>
      <c r="M330" s="476">
        <f>+'Plan de Accion apoyo transversa'!AX93</f>
        <v>0</v>
      </c>
      <c r="N330" s="476">
        <f t="shared" si="306"/>
        <v>0</v>
      </c>
      <c r="O330" s="478" t="s">
        <v>204</v>
      </c>
      <c r="P330" s="213"/>
      <c r="Q330" s="218">
        <f>+'Plan de Accion apoyo transversa'!BD93</f>
        <v>0</v>
      </c>
      <c r="R330" s="304" t="str">
        <f>+'Plan de Accion apoyo transversa'!CG93</f>
        <v>No Prog ni Ejec</v>
      </c>
      <c r="S330" s="248" t="s">
        <v>204</v>
      </c>
      <c r="T330" s="304">
        <f>+'Plan de Accion apoyo transversa'!BH93</f>
        <v>0</v>
      </c>
      <c r="U330" s="304">
        <f t="shared" si="309"/>
        <v>0</v>
      </c>
      <c r="V330" s="211" t="s">
        <v>204</v>
      </c>
      <c r="W330" s="213"/>
      <c r="X330" s="218">
        <f>+'Plan de Accion apoyo transversa'!BN93</f>
        <v>0</v>
      </c>
      <c r="Y330" s="304">
        <f>+'Plan de Accion apoyo transversa'!CI93</f>
        <v>0</v>
      </c>
      <c r="Z330" s="212">
        <f>IF(Y330&gt;100%,100%,Y330)</f>
        <v>0</v>
      </c>
      <c r="AA330" s="217">
        <f>+'Plan de Accion apoyo transversa'!BR93</f>
        <v>0</v>
      </c>
      <c r="AB330" s="217">
        <f t="shared" si="310"/>
        <v>0</v>
      </c>
      <c r="AC330" s="216">
        <f t="shared" si="311"/>
        <v>0</v>
      </c>
      <c r="AD330" s="213"/>
      <c r="AE330" s="218">
        <f>+'Plan de Accion apoyo transversa'!BX93</f>
        <v>0</v>
      </c>
      <c r="AF330" s="304" t="str">
        <f>+'Plan de Accion apoyo transversa'!CK93</f>
        <v>No Prog ni Ejec</v>
      </c>
      <c r="AG330" s="212" t="s">
        <v>204</v>
      </c>
      <c r="AH330" s="304">
        <f>+'Plan de Accion apoyo transversa'!CB93</f>
        <v>0</v>
      </c>
      <c r="AI330" s="211">
        <f t="shared" si="312"/>
        <v>0</v>
      </c>
      <c r="AJ330" s="1482"/>
      <c r="AL330" s="1504"/>
      <c r="AM330" s="1488"/>
      <c r="AN330" s="204"/>
      <c r="AO330" s="1501"/>
      <c r="AP330" s="1488"/>
      <c r="AQ330" s="204"/>
      <c r="AR330" s="1488"/>
      <c r="AS330" s="1488"/>
      <c r="AT330" s="204"/>
      <c r="AU330" s="1488"/>
      <c r="AV330" s="1488"/>
      <c r="AW330" s="202"/>
      <c r="AX330" s="1507"/>
      <c r="AZ330" s="1504"/>
      <c r="BA330" s="1488"/>
      <c r="BB330" s="204"/>
      <c r="BC330" s="1501"/>
      <c r="BD330" s="1488"/>
      <c r="BE330" s="204"/>
      <c r="BF330" s="1488"/>
      <c r="BG330" s="1488"/>
      <c r="BH330" s="204"/>
      <c r="BI330" s="1488"/>
      <c r="BJ330" s="1488"/>
      <c r="BK330" s="202"/>
      <c r="BL330" s="1507"/>
      <c r="BN330" s="1504"/>
      <c r="BO330" s="1488"/>
      <c r="BP330" s="204"/>
      <c r="BQ330" s="1501"/>
      <c r="BR330" s="1488"/>
      <c r="BS330" s="204"/>
      <c r="BT330" s="1488"/>
      <c r="BU330" s="1488"/>
      <c r="BV330" s="204"/>
      <c r="BW330" s="1488"/>
      <c r="BX330" s="1488"/>
      <c r="BY330" s="202"/>
      <c r="BZ330" s="1507"/>
      <c r="CB330" s="1504"/>
      <c r="CC330" s="1488"/>
      <c r="CD330" s="204"/>
      <c r="CE330" s="1501"/>
      <c r="CF330" s="1488"/>
      <c r="CG330" s="204"/>
      <c r="CH330" s="1488"/>
      <c r="CI330" s="1488"/>
      <c r="CJ330" s="204"/>
      <c r="CK330" s="1488"/>
      <c r="CL330" s="1488"/>
      <c r="CM330" s="202"/>
      <c r="CN330" s="1507"/>
    </row>
    <row r="331" spans="2:92" ht="39" customHeight="1" x14ac:dyDescent="0.2">
      <c r="B331" s="1468"/>
      <c r="C331" s="1471"/>
      <c r="D331" s="1437"/>
      <c r="E331" s="1462"/>
      <c r="F331" s="1442" t="s">
        <v>1178</v>
      </c>
      <c r="G331" s="308" t="str">
        <f>+'Plan de Accion apoyo transversa'!X94</f>
        <v>Olimpiada deportiva de Microfútbol</v>
      </c>
      <c r="H331" s="1601" t="str">
        <f>+'Plan de Accion apoyo transversa'!AK94</f>
        <v># Actividades de bienestar realizadas</v>
      </c>
      <c r="J331" s="1598">
        <f>+'Plan de Accion apoyo transversa'!AT94</f>
        <v>1</v>
      </c>
      <c r="K331" s="1447">
        <f>+'Plan de Accion apoyo transversa'!CE94</f>
        <v>1</v>
      </c>
      <c r="L331" s="1447">
        <f>IF(K331&gt;100%,100%,K331)</f>
        <v>1</v>
      </c>
      <c r="M331" s="1447">
        <f>+'Plan de Accion apoyo transversa'!AX94</f>
        <v>5.2631578947368418E-2</v>
      </c>
      <c r="N331" s="1447">
        <f t="shared" si="306"/>
        <v>5.2631578947368418E-2</v>
      </c>
      <c r="O331" s="1450">
        <f>+N331</f>
        <v>5.2631578947368418E-2</v>
      </c>
      <c r="P331" s="213"/>
      <c r="Q331" s="1598">
        <f>+'Plan de Accion apoyo transversa'!BD94</f>
        <v>2</v>
      </c>
      <c r="R331" s="1447">
        <f>+'Plan de Accion apoyo transversa'!CG94</f>
        <v>1</v>
      </c>
      <c r="S331" s="1447">
        <f>IF(R331&gt;100%,100%,R331)</f>
        <v>1</v>
      </c>
      <c r="T331" s="1447">
        <f>+'Plan de Accion apoyo transversa'!BH94</f>
        <v>0.15789473684210525</v>
      </c>
      <c r="U331" s="1447">
        <f t="shared" ref="U331:U350" si="317">IF(T331&gt;100%,100%,T331)</f>
        <v>0.15789473684210525</v>
      </c>
      <c r="V331" s="1450">
        <f>+U331</f>
        <v>0.15789473684210525</v>
      </c>
      <c r="W331" s="213"/>
      <c r="X331" s="1598">
        <f>+'Plan de Accion apoyo transversa'!BN94</f>
        <v>3</v>
      </c>
      <c r="Y331" s="1447">
        <f>+'Plan de Accion apoyo transversa'!CI94</f>
        <v>0.5</v>
      </c>
      <c r="Z331" s="1447">
        <f>IF(Y331&gt;100%,100%,Y331)</f>
        <v>0.5</v>
      </c>
      <c r="AA331" s="1453">
        <f>+'Plan de Accion apoyo transversa'!BR94</f>
        <v>0.31578947368421051</v>
      </c>
      <c r="AB331" s="1453">
        <f t="shared" ref="AB331:AB350" si="318">IF(AA331&gt;100%,100%,AA331)</f>
        <v>0.31578947368421051</v>
      </c>
      <c r="AC331" s="1456">
        <f t="shared" ref="AC331:AC356" si="319">+AB331</f>
        <v>0.31578947368421051</v>
      </c>
      <c r="AD331" s="213"/>
      <c r="AE331" s="1598">
        <f>+'Plan de Accion apoyo transversa'!BX94</f>
        <v>13</v>
      </c>
      <c r="AF331" s="1447">
        <f>+'Plan de Accion apoyo transversa'!CK94</f>
        <v>1.3</v>
      </c>
      <c r="AG331" s="1447">
        <f>IF(AF331&gt;100%,100%,AF331)</f>
        <v>1</v>
      </c>
      <c r="AH331" s="1447">
        <f>+'Plan de Accion apoyo transversa'!CB94</f>
        <v>1</v>
      </c>
      <c r="AI331" s="1450">
        <f t="shared" ref="AI331:AI350" si="320">IF(AH331&gt;100%,100%,AH331)</f>
        <v>1</v>
      </c>
      <c r="AJ331" s="1482"/>
      <c r="AL331" s="1504"/>
      <c r="AM331" s="1488"/>
      <c r="AN331" s="204"/>
      <c r="AO331" s="1501"/>
      <c r="AP331" s="1488"/>
      <c r="AQ331" s="204"/>
      <c r="AR331" s="1488"/>
      <c r="AS331" s="1488"/>
      <c r="AT331" s="204"/>
      <c r="AU331" s="1488"/>
      <c r="AV331" s="1488"/>
      <c r="AW331" s="202"/>
      <c r="AX331" s="1507"/>
      <c r="AZ331" s="1504"/>
      <c r="BA331" s="1488"/>
      <c r="BB331" s="204"/>
      <c r="BC331" s="1501"/>
      <c r="BD331" s="1488"/>
      <c r="BE331" s="204"/>
      <c r="BF331" s="1488"/>
      <c r="BG331" s="1488"/>
      <c r="BH331" s="204"/>
      <c r="BI331" s="1488"/>
      <c r="BJ331" s="1488"/>
      <c r="BK331" s="202"/>
      <c r="BL331" s="1507"/>
      <c r="BN331" s="1504"/>
      <c r="BO331" s="1488"/>
      <c r="BP331" s="204"/>
      <c r="BQ331" s="1501"/>
      <c r="BR331" s="1488"/>
      <c r="BS331" s="204"/>
      <c r="BT331" s="1488"/>
      <c r="BU331" s="1488"/>
      <c r="BV331" s="204"/>
      <c r="BW331" s="1488"/>
      <c r="BX331" s="1488"/>
      <c r="BY331" s="202"/>
      <c r="BZ331" s="1507"/>
      <c r="CB331" s="1504"/>
      <c r="CC331" s="1488"/>
      <c r="CD331" s="204"/>
      <c r="CE331" s="1501"/>
      <c r="CF331" s="1488"/>
      <c r="CG331" s="204"/>
      <c r="CH331" s="1488"/>
      <c r="CI331" s="1488"/>
      <c r="CJ331" s="204"/>
      <c r="CK331" s="1488"/>
      <c r="CL331" s="1488"/>
      <c r="CM331" s="202"/>
      <c r="CN331" s="1507"/>
    </row>
    <row r="332" spans="2:92" ht="39" customHeight="1" x14ac:dyDescent="0.2">
      <c r="B332" s="1468"/>
      <c r="C332" s="1471"/>
      <c r="D332" s="1437"/>
      <c r="E332" s="1462"/>
      <c r="F332" s="1443"/>
      <c r="G332" s="308" t="str">
        <f>+'Plan de Accion apoyo transversa'!X95</f>
        <v>Olimpiada deportiva de Voleibol</v>
      </c>
      <c r="H332" s="1602"/>
      <c r="J332" s="1599"/>
      <c r="K332" s="1448"/>
      <c r="L332" s="1448"/>
      <c r="M332" s="1448"/>
      <c r="N332" s="1448"/>
      <c r="O332" s="1451"/>
      <c r="P332" s="213"/>
      <c r="Q332" s="1599"/>
      <c r="R332" s="1448"/>
      <c r="S332" s="1448"/>
      <c r="T332" s="1448"/>
      <c r="U332" s="1448"/>
      <c r="V332" s="1451"/>
      <c r="W332" s="213"/>
      <c r="X332" s="1599"/>
      <c r="Y332" s="1448"/>
      <c r="Z332" s="1448"/>
      <c r="AA332" s="1454"/>
      <c r="AB332" s="1454"/>
      <c r="AC332" s="1457"/>
      <c r="AD332" s="213"/>
      <c r="AE332" s="1599"/>
      <c r="AF332" s="1448"/>
      <c r="AG332" s="1448"/>
      <c r="AH332" s="1448"/>
      <c r="AI332" s="1451"/>
      <c r="AJ332" s="1482"/>
      <c r="AL332" s="1504"/>
      <c r="AM332" s="1488"/>
      <c r="AN332" s="204"/>
      <c r="AO332" s="1501"/>
      <c r="AP332" s="1488"/>
      <c r="AQ332" s="204"/>
      <c r="AR332" s="1488"/>
      <c r="AS332" s="1488"/>
      <c r="AT332" s="204"/>
      <c r="AU332" s="1488"/>
      <c r="AV332" s="1488"/>
      <c r="AW332" s="202"/>
      <c r="AX332" s="1507"/>
      <c r="AZ332" s="1504"/>
      <c r="BA332" s="1488"/>
      <c r="BB332" s="204"/>
      <c r="BC332" s="1501"/>
      <c r="BD332" s="1488"/>
      <c r="BE332" s="204"/>
      <c r="BF332" s="1488"/>
      <c r="BG332" s="1488"/>
      <c r="BH332" s="204"/>
      <c r="BI332" s="1488"/>
      <c r="BJ332" s="1488"/>
      <c r="BK332" s="202"/>
      <c r="BL332" s="1507"/>
      <c r="BN332" s="1504"/>
      <c r="BO332" s="1488"/>
      <c r="BP332" s="204"/>
      <c r="BQ332" s="1501"/>
      <c r="BR332" s="1488"/>
      <c r="BS332" s="204"/>
      <c r="BT332" s="1488"/>
      <c r="BU332" s="1488"/>
      <c r="BV332" s="204"/>
      <c r="BW332" s="1488"/>
      <c r="BX332" s="1488"/>
      <c r="BY332" s="202"/>
      <c r="BZ332" s="1507"/>
      <c r="CB332" s="1504"/>
      <c r="CC332" s="1488"/>
      <c r="CD332" s="204"/>
      <c r="CE332" s="1501"/>
      <c r="CF332" s="1488"/>
      <c r="CG332" s="204"/>
      <c r="CH332" s="1488"/>
      <c r="CI332" s="1488"/>
      <c r="CJ332" s="204"/>
      <c r="CK332" s="1488"/>
      <c r="CL332" s="1488"/>
      <c r="CM332" s="202"/>
      <c r="CN332" s="1507"/>
    </row>
    <row r="333" spans="2:92" ht="39" customHeight="1" x14ac:dyDescent="0.2">
      <c r="B333" s="1468"/>
      <c r="C333" s="1471"/>
      <c r="D333" s="1437"/>
      <c r="E333" s="1462"/>
      <c r="F333" s="1443"/>
      <c r="G333" s="308" t="str">
        <f>+'Plan de Accion apoyo transversa'!X96</f>
        <v>Olimpiada deportiva de Tenis de mesa</v>
      </c>
      <c r="H333" s="1602"/>
      <c r="J333" s="1599"/>
      <c r="K333" s="1448"/>
      <c r="L333" s="1448"/>
      <c r="M333" s="1448"/>
      <c r="N333" s="1448"/>
      <c r="O333" s="1451"/>
      <c r="P333" s="213"/>
      <c r="Q333" s="1599"/>
      <c r="R333" s="1448"/>
      <c r="S333" s="1448"/>
      <c r="T333" s="1448"/>
      <c r="U333" s="1448"/>
      <c r="V333" s="1451"/>
      <c r="W333" s="213"/>
      <c r="X333" s="1599"/>
      <c r="Y333" s="1448"/>
      <c r="Z333" s="1448"/>
      <c r="AA333" s="1454"/>
      <c r="AB333" s="1454"/>
      <c r="AC333" s="1457"/>
      <c r="AD333" s="213"/>
      <c r="AE333" s="1599"/>
      <c r="AF333" s="1448"/>
      <c r="AG333" s="1448"/>
      <c r="AH333" s="1448"/>
      <c r="AI333" s="1451"/>
      <c r="AJ333" s="1482"/>
      <c r="AL333" s="1504"/>
      <c r="AM333" s="1488"/>
      <c r="AN333" s="204"/>
      <c r="AO333" s="1501"/>
      <c r="AP333" s="1488"/>
      <c r="AQ333" s="204"/>
      <c r="AR333" s="1488"/>
      <c r="AS333" s="1488"/>
      <c r="AT333" s="204"/>
      <c r="AU333" s="1488"/>
      <c r="AV333" s="1488"/>
      <c r="AW333" s="202"/>
      <c r="AX333" s="1507"/>
      <c r="AZ333" s="1504"/>
      <c r="BA333" s="1488"/>
      <c r="BB333" s="204"/>
      <c r="BC333" s="1501"/>
      <c r="BD333" s="1488"/>
      <c r="BE333" s="204"/>
      <c r="BF333" s="1488"/>
      <c r="BG333" s="1488"/>
      <c r="BH333" s="204"/>
      <c r="BI333" s="1488"/>
      <c r="BJ333" s="1488"/>
      <c r="BK333" s="202"/>
      <c r="BL333" s="1507"/>
      <c r="BN333" s="1504"/>
      <c r="BO333" s="1488"/>
      <c r="BP333" s="204"/>
      <c r="BQ333" s="1501"/>
      <c r="BR333" s="1488"/>
      <c r="BS333" s="204"/>
      <c r="BT333" s="1488"/>
      <c r="BU333" s="1488"/>
      <c r="BV333" s="204"/>
      <c r="BW333" s="1488"/>
      <c r="BX333" s="1488"/>
      <c r="BY333" s="202"/>
      <c r="BZ333" s="1507"/>
      <c r="CB333" s="1504"/>
      <c r="CC333" s="1488"/>
      <c r="CD333" s="204"/>
      <c r="CE333" s="1501"/>
      <c r="CF333" s="1488"/>
      <c r="CG333" s="204"/>
      <c r="CH333" s="1488"/>
      <c r="CI333" s="1488"/>
      <c r="CJ333" s="204"/>
      <c r="CK333" s="1488"/>
      <c r="CL333" s="1488"/>
      <c r="CM333" s="202"/>
      <c r="CN333" s="1507"/>
    </row>
    <row r="334" spans="2:92" ht="39" customHeight="1" x14ac:dyDescent="0.2">
      <c r="B334" s="1468"/>
      <c r="C334" s="1471"/>
      <c r="D334" s="1437"/>
      <c r="E334" s="1462"/>
      <c r="F334" s="1443"/>
      <c r="G334" s="308" t="str">
        <f>+'Plan de Accion apoyo transversa'!X97</f>
        <v>Olimpiada deportiva de Bolos</v>
      </c>
      <c r="H334" s="1602"/>
      <c r="J334" s="1599"/>
      <c r="K334" s="1448"/>
      <c r="L334" s="1448"/>
      <c r="M334" s="1448"/>
      <c r="N334" s="1448"/>
      <c r="O334" s="1451"/>
      <c r="P334" s="213"/>
      <c r="Q334" s="1599"/>
      <c r="R334" s="1448"/>
      <c r="S334" s="1448"/>
      <c r="T334" s="1448"/>
      <c r="U334" s="1448"/>
      <c r="V334" s="1451"/>
      <c r="W334" s="213"/>
      <c r="X334" s="1599"/>
      <c r="Y334" s="1448"/>
      <c r="Z334" s="1448"/>
      <c r="AA334" s="1454"/>
      <c r="AB334" s="1454"/>
      <c r="AC334" s="1457"/>
      <c r="AD334" s="213"/>
      <c r="AE334" s="1599"/>
      <c r="AF334" s="1448"/>
      <c r="AG334" s="1448"/>
      <c r="AH334" s="1448"/>
      <c r="AI334" s="1451"/>
      <c r="AJ334" s="1482"/>
      <c r="AL334" s="1504"/>
      <c r="AM334" s="1488"/>
      <c r="AN334" s="204"/>
      <c r="AO334" s="1501"/>
      <c r="AP334" s="1488"/>
      <c r="AQ334" s="204"/>
      <c r="AR334" s="1488"/>
      <c r="AS334" s="1488"/>
      <c r="AT334" s="204"/>
      <c r="AU334" s="1488"/>
      <c r="AV334" s="1488"/>
      <c r="AW334" s="202"/>
      <c r="AX334" s="1507"/>
      <c r="AZ334" s="1504"/>
      <c r="BA334" s="1488"/>
      <c r="BB334" s="204"/>
      <c r="BC334" s="1501"/>
      <c r="BD334" s="1488"/>
      <c r="BE334" s="204"/>
      <c r="BF334" s="1488"/>
      <c r="BG334" s="1488"/>
      <c r="BH334" s="204"/>
      <c r="BI334" s="1488"/>
      <c r="BJ334" s="1488"/>
      <c r="BK334" s="202"/>
      <c r="BL334" s="1507"/>
      <c r="BN334" s="1504"/>
      <c r="BO334" s="1488"/>
      <c r="BP334" s="204"/>
      <c r="BQ334" s="1501"/>
      <c r="BR334" s="1488"/>
      <c r="BS334" s="204"/>
      <c r="BT334" s="1488"/>
      <c r="BU334" s="1488"/>
      <c r="BV334" s="204"/>
      <c r="BW334" s="1488"/>
      <c r="BX334" s="1488"/>
      <c r="BY334" s="202"/>
      <c r="BZ334" s="1507"/>
      <c r="CB334" s="1504"/>
      <c r="CC334" s="1488"/>
      <c r="CD334" s="204"/>
      <c r="CE334" s="1501"/>
      <c r="CF334" s="1488"/>
      <c r="CG334" s="204"/>
      <c r="CH334" s="1488"/>
      <c r="CI334" s="1488"/>
      <c r="CJ334" s="204"/>
      <c r="CK334" s="1488"/>
      <c r="CL334" s="1488"/>
      <c r="CM334" s="202"/>
      <c r="CN334" s="1507"/>
    </row>
    <row r="335" spans="2:92" ht="39" customHeight="1" x14ac:dyDescent="0.2">
      <c r="B335" s="1468"/>
      <c r="C335" s="1471"/>
      <c r="D335" s="1437"/>
      <c r="E335" s="1462"/>
      <c r="F335" s="1443"/>
      <c r="G335" s="308" t="str">
        <f>+'Plan de Accion apoyo transversa'!X98</f>
        <v>Olimpiada deportiva de Billar</v>
      </c>
      <c r="H335" s="1602"/>
      <c r="J335" s="1599"/>
      <c r="K335" s="1448"/>
      <c r="L335" s="1448"/>
      <c r="M335" s="1448"/>
      <c r="N335" s="1448"/>
      <c r="O335" s="1451"/>
      <c r="P335" s="213"/>
      <c r="Q335" s="1599"/>
      <c r="R335" s="1448"/>
      <c r="S335" s="1448"/>
      <c r="T335" s="1448"/>
      <c r="U335" s="1448"/>
      <c r="V335" s="1451"/>
      <c r="W335" s="213"/>
      <c r="X335" s="1599"/>
      <c r="Y335" s="1448"/>
      <c r="Z335" s="1448"/>
      <c r="AA335" s="1454"/>
      <c r="AB335" s="1454"/>
      <c r="AC335" s="1457"/>
      <c r="AD335" s="213"/>
      <c r="AE335" s="1599"/>
      <c r="AF335" s="1448"/>
      <c r="AG335" s="1448"/>
      <c r="AH335" s="1448"/>
      <c r="AI335" s="1451"/>
      <c r="AJ335" s="1482"/>
      <c r="AL335" s="1504"/>
      <c r="AM335" s="1488"/>
      <c r="AN335" s="204"/>
      <c r="AO335" s="1501"/>
      <c r="AP335" s="1488"/>
      <c r="AQ335" s="204"/>
      <c r="AR335" s="1488"/>
      <c r="AS335" s="1488"/>
      <c r="AT335" s="204"/>
      <c r="AU335" s="1488"/>
      <c r="AV335" s="1488"/>
      <c r="AW335" s="202"/>
      <c r="AX335" s="1507"/>
      <c r="AZ335" s="1504"/>
      <c r="BA335" s="1488"/>
      <c r="BB335" s="204"/>
      <c r="BC335" s="1501"/>
      <c r="BD335" s="1488"/>
      <c r="BE335" s="204"/>
      <c r="BF335" s="1488"/>
      <c r="BG335" s="1488"/>
      <c r="BH335" s="204"/>
      <c r="BI335" s="1488"/>
      <c r="BJ335" s="1488"/>
      <c r="BK335" s="202"/>
      <c r="BL335" s="1507"/>
      <c r="BN335" s="1504"/>
      <c r="BO335" s="1488"/>
      <c r="BP335" s="204"/>
      <c r="BQ335" s="1501"/>
      <c r="BR335" s="1488"/>
      <c r="BS335" s="204"/>
      <c r="BT335" s="1488"/>
      <c r="BU335" s="1488"/>
      <c r="BV335" s="204"/>
      <c r="BW335" s="1488"/>
      <c r="BX335" s="1488"/>
      <c r="BY335" s="202"/>
      <c r="BZ335" s="1507"/>
      <c r="CB335" s="1504"/>
      <c r="CC335" s="1488"/>
      <c r="CD335" s="204"/>
      <c r="CE335" s="1501"/>
      <c r="CF335" s="1488"/>
      <c r="CG335" s="204"/>
      <c r="CH335" s="1488"/>
      <c r="CI335" s="1488"/>
      <c r="CJ335" s="204"/>
      <c r="CK335" s="1488"/>
      <c r="CL335" s="1488"/>
      <c r="CM335" s="202"/>
      <c r="CN335" s="1507"/>
    </row>
    <row r="336" spans="2:92" ht="39" customHeight="1" x14ac:dyDescent="0.2">
      <c r="B336" s="1468"/>
      <c r="C336" s="1471"/>
      <c r="D336" s="1437"/>
      <c r="E336" s="1462"/>
      <c r="F336" s="1443"/>
      <c r="G336" s="308" t="str">
        <f>+'Plan de Accion apoyo transversa'!X99</f>
        <v>Vacaciones recreativas realizadas</v>
      </c>
      <c r="H336" s="1602"/>
      <c r="J336" s="1599"/>
      <c r="K336" s="1448"/>
      <c r="L336" s="1448"/>
      <c r="M336" s="1448"/>
      <c r="N336" s="1448"/>
      <c r="O336" s="1451"/>
      <c r="P336" s="213"/>
      <c r="Q336" s="1599"/>
      <c r="R336" s="1448"/>
      <c r="S336" s="1448"/>
      <c r="T336" s="1448"/>
      <c r="U336" s="1448"/>
      <c r="V336" s="1451"/>
      <c r="W336" s="213"/>
      <c r="X336" s="1599"/>
      <c r="Y336" s="1448"/>
      <c r="Z336" s="1448"/>
      <c r="AA336" s="1454"/>
      <c r="AB336" s="1454"/>
      <c r="AC336" s="1457"/>
      <c r="AD336" s="213"/>
      <c r="AE336" s="1599"/>
      <c r="AF336" s="1448"/>
      <c r="AG336" s="1448"/>
      <c r="AH336" s="1448"/>
      <c r="AI336" s="1451"/>
      <c r="AJ336" s="1482"/>
      <c r="AL336" s="1504"/>
      <c r="AM336" s="1488"/>
      <c r="AN336" s="204"/>
      <c r="AO336" s="1501"/>
      <c r="AP336" s="1488"/>
      <c r="AQ336" s="204"/>
      <c r="AR336" s="1488"/>
      <c r="AS336" s="1488"/>
      <c r="AT336" s="204"/>
      <c r="AU336" s="1488"/>
      <c r="AV336" s="1488"/>
      <c r="AW336" s="202"/>
      <c r="AX336" s="1507"/>
      <c r="AZ336" s="1504"/>
      <c r="BA336" s="1488"/>
      <c r="BB336" s="204"/>
      <c r="BC336" s="1501"/>
      <c r="BD336" s="1488"/>
      <c r="BE336" s="204"/>
      <c r="BF336" s="1488"/>
      <c r="BG336" s="1488"/>
      <c r="BH336" s="204"/>
      <c r="BI336" s="1488"/>
      <c r="BJ336" s="1488"/>
      <c r="BK336" s="202"/>
      <c r="BL336" s="1507"/>
      <c r="BN336" s="1504"/>
      <c r="BO336" s="1488"/>
      <c r="BP336" s="204"/>
      <c r="BQ336" s="1501"/>
      <c r="BR336" s="1488"/>
      <c r="BS336" s="204"/>
      <c r="BT336" s="1488"/>
      <c r="BU336" s="1488"/>
      <c r="BV336" s="204"/>
      <c r="BW336" s="1488"/>
      <c r="BX336" s="1488"/>
      <c r="BY336" s="202"/>
      <c r="BZ336" s="1507"/>
      <c r="CB336" s="1504"/>
      <c r="CC336" s="1488"/>
      <c r="CD336" s="204"/>
      <c r="CE336" s="1501"/>
      <c r="CF336" s="1488"/>
      <c r="CG336" s="204"/>
      <c r="CH336" s="1488"/>
      <c r="CI336" s="1488"/>
      <c r="CJ336" s="204"/>
      <c r="CK336" s="1488"/>
      <c r="CL336" s="1488"/>
      <c r="CM336" s="202"/>
      <c r="CN336" s="1507"/>
    </row>
    <row r="337" spans="2:92" ht="28.5" x14ac:dyDescent="0.2">
      <c r="B337" s="1469"/>
      <c r="C337" s="1471"/>
      <c r="D337" s="1437"/>
      <c r="E337" s="1462"/>
      <c r="F337" s="1443"/>
      <c r="G337" s="308" t="str">
        <f>+'Plan de Accion apoyo transversa'!X100</f>
        <v>Actividad día del niño realizada</v>
      </c>
      <c r="H337" s="1602"/>
      <c r="J337" s="1599"/>
      <c r="K337" s="1448"/>
      <c r="L337" s="1448"/>
      <c r="M337" s="1448"/>
      <c r="N337" s="1448"/>
      <c r="O337" s="1451"/>
      <c r="P337" s="213"/>
      <c r="Q337" s="1599"/>
      <c r="R337" s="1448"/>
      <c r="S337" s="1448"/>
      <c r="T337" s="1448"/>
      <c r="U337" s="1448"/>
      <c r="V337" s="1451"/>
      <c r="W337" s="213"/>
      <c r="X337" s="1599"/>
      <c r="Y337" s="1448"/>
      <c r="Z337" s="1448"/>
      <c r="AA337" s="1454"/>
      <c r="AB337" s="1454"/>
      <c r="AC337" s="1457"/>
      <c r="AD337" s="213"/>
      <c r="AE337" s="1599"/>
      <c r="AF337" s="1448"/>
      <c r="AG337" s="1448"/>
      <c r="AH337" s="1448"/>
      <c r="AI337" s="1451"/>
      <c r="AJ337" s="1482"/>
      <c r="AL337" s="1504"/>
      <c r="AM337" s="1488"/>
      <c r="AN337" s="204"/>
      <c r="AO337" s="1501"/>
      <c r="AP337" s="1488"/>
      <c r="AQ337" s="204"/>
      <c r="AR337" s="1488"/>
      <c r="AS337" s="1488"/>
      <c r="AT337" s="204"/>
      <c r="AU337" s="1488"/>
      <c r="AV337" s="1488"/>
      <c r="AW337" s="202"/>
      <c r="AX337" s="1507"/>
      <c r="AZ337" s="1504"/>
      <c r="BA337" s="1488"/>
      <c r="BB337" s="204"/>
      <c r="BC337" s="1501"/>
      <c r="BD337" s="1488"/>
      <c r="BE337" s="204"/>
      <c r="BF337" s="1488"/>
      <c r="BG337" s="1488"/>
      <c r="BH337" s="204"/>
      <c r="BI337" s="1488"/>
      <c r="BJ337" s="1488"/>
      <c r="BK337" s="202"/>
      <c r="BL337" s="1507"/>
      <c r="BN337" s="1504"/>
      <c r="BO337" s="1488"/>
      <c r="BP337" s="204"/>
      <c r="BQ337" s="1501"/>
      <c r="BR337" s="1488"/>
      <c r="BS337" s="204"/>
      <c r="BT337" s="1488"/>
      <c r="BU337" s="1488"/>
      <c r="BV337" s="204"/>
      <c r="BW337" s="1488"/>
      <c r="BX337" s="1488"/>
      <c r="BY337" s="202"/>
      <c r="BZ337" s="1507"/>
      <c r="CB337" s="1504"/>
      <c r="CC337" s="1488"/>
      <c r="CD337" s="204"/>
      <c r="CE337" s="1501"/>
      <c r="CF337" s="1488"/>
      <c r="CG337" s="204"/>
      <c r="CH337" s="1488"/>
      <c r="CI337" s="1488"/>
      <c r="CJ337" s="204"/>
      <c r="CK337" s="1488"/>
      <c r="CL337" s="1488"/>
      <c r="CM337" s="202"/>
      <c r="CN337" s="1507"/>
    </row>
    <row r="338" spans="2:92" ht="57" customHeight="1" x14ac:dyDescent="0.2">
      <c r="B338" s="1469"/>
      <c r="C338" s="1471"/>
      <c r="D338" s="1437"/>
      <c r="E338" s="1462"/>
      <c r="F338" s="1443"/>
      <c r="G338" s="308" t="str">
        <f>+'Plan de Accion apoyo transversa'!X101</f>
        <v>Actividad cultural y artística de Cine realizada</v>
      </c>
      <c r="H338" s="1602"/>
      <c r="J338" s="1599"/>
      <c r="K338" s="1448"/>
      <c r="L338" s="1448"/>
      <c r="M338" s="1448"/>
      <c r="N338" s="1448"/>
      <c r="O338" s="1451"/>
      <c r="P338" s="213"/>
      <c r="Q338" s="1599"/>
      <c r="R338" s="1448"/>
      <c r="S338" s="1448"/>
      <c r="T338" s="1448"/>
      <c r="U338" s="1448"/>
      <c r="V338" s="1451"/>
      <c r="W338" s="213"/>
      <c r="X338" s="1599"/>
      <c r="Y338" s="1448"/>
      <c r="Z338" s="1448"/>
      <c r="AA338" s="1454"/>
      <c r="AB338" s="1454"/>
      <c r="AC338" s="1457"/>
      <c r="AD338" s="213"/>
      <c r="AE338" s="1599"/>
      <c r="AF338" s="1448"/>
      <c r="AG338" s="1448"/>
      <c r="AH338" s="1448"/>
      <c r="AI338" s="1451"/>
      <c r="AJ338" s="1482"/>
      <c r="AL338" s="1504"/>
      <c r="AM338" s="1488"/>
      <c r="AN338" s="204"/>
      <c r="AO338" s="1501"/>
      <c r="AP338" s="1488"/>
      <c r="AQ338" s="204"/>
      <c r="AR338" s="1488"/>
      <c r="AS338" s="1488"/>
      <c r="AT338" s="204"/>
      <c r="AU338" s="1488"/>
      <c r="AV338" s="1488"/>
      <c r="AW338" s="202"/>
      <c r="AX338" s="1507"/>
      <c r="AZ338" s="1504"/>
      <c r="BA338" s="1488"/>
      <c r="BB338" s="204"/>
      <c r="BC338" s="1501"/>
      <c r="BD338" s="1488"/>
      <c r="BE338" s="204"/>
      <c r="BF338" s="1488"/>
      <c r="BG338" s="1488"/>
      <c r="BH338" s="204"/>
      <c r="BI338" s="1488"/>
      <c r="BJ338" s="1488"/>
      <c r="BK338" s="202"/>
      <c r="BL338" s="1507"/>
      <c r="BN338" s="1504"/>
      <c r="BO338" s="1488"/>
      <c r="BP338" s="204"/>
      <c r="BQ338" s="1501"/>
      <c r="BR338" s="1488"/>
      <c r="BS338" s="204"/>
      <c r="BT338" s="1488"/>
      <c r="BU338" s="1488"/>
      <c r="BV338" s="204"/>
      <c r="BW338" s="1488"/>
      <c r="BX338" s="1488"/>
      <c r="BY338" s="202"/>
      <c r="BZ338" s="1507"/>
      <c r="CB338" s="1504"/>
      <c r="CC338" s="1488"/>
      <c r="CD338" s="204"/>
      <c r="CE338" s="1501"/>
      <c r="CF338" s="1488"/>
      <c r="CG338" s="204"/>
      <c r="CH338" s="1488"/>
      <c r="CI338" s="1488"/>
      <c r="CJ338" s="204"/>
      <c r="CK338" s="1488"/>
      <c r="CL338" s="1488"/>
      <c r="CM338" s="202"/>
      <c r="CN338" s="1507"/>
    </row>
    <row r="339" spans="2:92" ht="28.5" x14ac:dyDescent="0.2">
      <c r="B339" s="1469"/>
      <c r="C339" s="1471"/>
      <c r="D339" s="1437"/>
      <c r="E339" s="1462"/>
      <c r="F339" s="1443"/>
      <c r="G339" s="308" t="str">
        <f>+'Plan de Accion apoyo transversa'!X102</f>
        <v>Actividad cultural y artística de Taller de cocina realizada</v>
      </c>
      <c r="H339" s="1602"/>
      <c r="J339" s="1599"/>
      <c r="K339" s="1448"/>
      <c r="L339" s="1448"/>
      <c r="M339" s="1448"/>
      <c r="N339" s="1448"/>
      <c r="O339" s="1451"/>
      <c r="P339" s="213"/>
      <c r="Q339" s="1599"/>
      <c r="R339" s="1448"/>
      <c r="S339" s="1448"/>
      <c r="T339" s="1448"/>
      <c r="U339" s="1448"/>
      <c r="V339" s="1451"/>
      <c r="W339" s="213"/>
      <c r="X339" s="1599"/>
      <c r="Y339" s="1448"/>
      <c r="Z339" s="1448"/>
      <c r="AA339" s="1454"/>
      <c r="AB339" s="1454"/>
      <c r="AC339" s="1457"/>
      <c r="AD339" s="213"/>
      <c r="AE339" s="1599"/>
      <c r="AF339" s="1448"/>
      <c r="AG339" s="1448"/>
      <c r="AH339" s="1448"/>
      <c r="AI339" s="1451"/>
      <c r="AJ339" s="1482"/>
      <c r="AK339" s="1165">
        <v>1</v>
      </c>
      <c r="AL339" s="1504"/>
      <c r="AM339" s="1488"/>
      <c r="AN339" s="204"/>
      <c r="AO339" s="1501"/>
      <c r="AP339" s="1488"/>
      <c r="AQ339" s="204"/>
      <c r="AR339" s="1488"/>
      <c r="AS339" s="1488"/>
      <c r="AT339" s="204"/>
      <c r="AU339" s="1488"/>
      <c r="AV339" s="1488"/>
      <c r="AW339" s="202"/>
      <c r="AX339" s="1507"/>
      <c r="AZ339" s="1504"/>
      <c r="BA339" s="1488"/>
      <c r="BB339" s="204"/>
      <c r="BC339" s="1501"/>
      <c r="BD339" s="1488"/>
      <c r="BE339" s="204"/>
      <c r="BF339" s="1488"/>
      <c r="BG339" s="1488"/>
      <c r="BH339" s="204"/>
      <c r="BI339" s="1488"/>
      <c r="BJ339" s="1488"/>
      <c r="BK339" s="202"/>
      <c r="BL339" s="1507"/>
      <c r="BN339" s="1504"/>
      <c r="BO339" s="1488"/>
      <c r="BP339" s="204"/>
      <c r="BQ339" s="1501"/>
      <c r="BR339" s="1488"/>
      <c r="BS339" s="204"/>
      <c r="BT339" s="1488"/>
      <c r="BU339" s="1488"/>
      <c r="BV339" s="204"/>
      <c r="BW339" s="1488"/>
      <c r="BX339" s="1488"/>
      <c r="BY339" s="202"/>
      <c r="BZ339" s="1507"/>
      <c r="CB339" s="1504"/>
      <c r="CC339" s="1488"/>
      <c r="CD339" s="204"/>
      <c r="CE339" s="1501"/>
      <c r="CF339" s="1488"/>
      <c r="CG339" s="204"/>
      <c r="CH339" s="1488"/>
      <c r="CI339" s="1488"/>
      <c r="CJ339" s="204"/>
      <c r="CK339" s="1488"/>
      <c r="CL339" s="1488"/>
      <c r="CM339" s="202"/>
      <c r="CN339" s="1507"/>
    </row>
    <row r="340" spans="2:92" ht="28.5" x14ac:dyDescent="0.2">
      <c r="B340" s="1469"/>
      <c r="C340" s="1471"/>
      <c r="D340" s="1437"/>
      <c r="E340" s="1462"/>
      <c r="F340" s="1443"/>
      <c r="G340" s="308" t="str">
        <f>+'Plan de Accion apoyo transversa'!X103</f>
        <v>Actividad social de Dia de la familia realizada</v>
      </c>
      <c r="H340" s="1602"/>
      <c r="J340" s="1599"/>
      <c r="K340" s="1448"/>
      <c r="L340" s="1448"/>
      <c r="M340" s="1448"/>
      <c r="N340" s="1448"/>
      <c r="O340" s="1451"/>
      <c r="P340" s="213"/>
      <c r="Q340" s="1599"/>
      <c r="R340" s="1448"/>
      <c r="S340" s="1448"/>
      <c r="T340" s="1448"/>
      <c r="U340" s="1448"/>
      <c r="V340" s="1451"/>
      <c r="W340" s="213"/>
      <c r="X340" s="1599"/>
      <c r="Y340" s="1448"/>
      <c r="Z340" s="1448"/>
      <c r="AA340" s="1454"/>
      <c r="AB340" s="1454"/>
      <c r="AC340" s="1457"/>
      <c r="AD340" s="213"/>
      <c r="AE340" s="1599"/>
      <c r="AF340" s="1448"/>
      <c r="AG340" s="1448"/>
      <c r="AH340" s="1448"/>
      <c r="AI340" s="1451"/>
      <c r="AJ340" s="1482"/>
      <c r="AL340" s="1504"/>
      <c r="AM340" s="1488"/>
      <c r="AN340" s="204"/>
      <c r="AO340" s="1501"/>
      <c r="AP340" s="1488"/>
      <c r="AQ340" s="204"/>
      <c r="AR340" s="1488"/>
      <c r="AS340" s="1488"/>
      <c r="AT340" s="204"/>
      <c r="AU340" s="1488"/>
      <c r="AV340" s="1488"/>
      <c r="AW340" s="202"/>
      <c r="AX340" s="1507"/>
      <c r="AZ340" s="1504"/>
      <c r="BA340" s="1488"/>
      <c r="BB340" s="204"/>
      <c r="BC340" s="1501"/>
      <c r="BD340" s="1488"/>
      <c r="BE340" s="204"/>
      <c r="BF340" s="1488"/>
      <c r="BG340" s="1488"/>
      <c r="BH340" s="204"/>
      <c r="BI340" s="1488"/>
      <c r="BJ340" s="1488"/>
      <c r="BK340" s="202"/>
      <c r="BL340" s="1507"/>
      <c r="BN340" s="1504"/>
      <c r="BO340" s="1488"/>
      <c r="BP340" s="204"/>
      <c r="BQ340" s="1501"/>
      <c r="BR340" s="1488"/>
      <c r="BS340" s="204"/>
      <c r="BT340" s="1488"/>
      <c r="BU340" s="1488"/>
      <c r="BV340" s="204"/>
      <c r="BW340" s="1488"/>
      <c r="BX340" s="1488"/>
      <c r="BY340" s="202"/>
      <c r="BZ340" s="1507"/>
      <c r="CB340" s="1504"/>
      <c r="CC340" s="1488"/>
      <c r="CD340" s="204"/>
      <c r="CE340" s="1501"/>
      <c r="CF340" s="1488"/>
      <c r="CG340" s="204"/>
      <c r="CH340" s="1488"/>
      <c r="CI340" s="1488"/>
      <c r="CJ340" s="204"/>
      <c r="CK340" s="1488"/>
      <c r="CL340" s="1488"/>
      <c r="CM340" s="202"/>
      <c r="CN340" s="1507"/>
    </row>
    <row r="341" spans="2:92" ht="57" customHeight="1" x14ac:dyDescent="0.2">
      <c r="B341" s="1469"/>
      <c r="C341" s="1471"/>
      <c r="D341" s="1437"/>
      <c r="E341" s="1462"/>
      <c r="F341" s="1443"/>
      <c r="G341" s="308" t="str">
        <f>+'Plan de Accion apoyo transversa'!X104</f>
        <v>Actividad social de Dia Internacional de la Mujer realizada</v>
      </c>
      <c r="H341" s="1602"/>
      <c r="J341" s="1599"/>
      <c r="K341" s="1448"/>
      <c r="L341" s="1448"/>
      <c r="M341" s="1448"/>
      <c r="N341" s="1448"/>
      <c r="O341" s="1451"/>
      <c r="P341" s="213"/>
      <c r="Q341" s="1599"/>
      <c r="R341" s="1448"/>
      <c r="S341" s="1448"/>
      <c r="T341" s="1448"/>
      <c r="U341" s="1448"/>
      <c r="V341" s="1451"/>
      <c r="W341" s="213"/>
      <c r="X341" s="1599"/>
      <c r="Y341" s="1448"/>
      <c r="Z341" s="1448"/>
      <c r="AA341" s="1454"/>
      <c r="AB341" s="1454"/>
      <c r="AC341" s="1457"/>
      <c r="AD341" s="213"/>
      <c r="AE341" s="1599"/>
      <c r="AF341" s="1448"/>
      <c r="AG341" s="1448"/>
      <c r="AH341" s="1448"/>
      <c r="AI341" s="1451"/>
      <c r="AJ341" s="1482"/>
      <c r="AL341" s="1504"/>
      <c r="AM341" s="1488"/>
      <c r="AN341" s="204"/>
      <c r="AO341" s="1501"/>
      <c r="AP341" s="1488"/>
      <c r="AQ341" s="204"/>
      <c r="AR341" s="1488"/>
      <c r="AS341" s="1488"/>
      <c r="AT341" s="204"/>
      <c r="AU341" s="1488"/>
      <c r="AV341" s="1488"/>
      <c r="AW341" s="202"/>
      <c r="AX341" s="1507"/>
      <c r="AZ341" s="1504"/>
      <c r="BA341" s="1488"/>
      <c r="BB341" s="204"/>
      <c r="BC341" s="1501"/>
      <c r="BD341" s="1488"/>
      <c r="BE341" s="204"/>
      <c r="BF341" s="1488"/>
      <c r="BG341" s="1488"/>
      <c r="BH341" s="204"/>
      <c r="BI341" s="1488"/>
      <c r="BJ341" s="1488"/>
      <c r="BK341" s="202"/>
      <c r="BL341" s="1507"/>
      <c r="BN341" s="1504"/>
      <c r="BO341" s="1488"/>
      <c r="BP341" s="204"/>
      <c r="BQ341" s="1501"/>
      <c r="BR341" s="1488"/>
      <c r="BS341" s="204"/>
      <c r="BT341" s="1488"/>
      <c r="BU341" s="1488"/>
      <c r="BV341" s="204"/>
      <c r="BW341" s="1488"/>
      <c r="BX341" s="1488"/>
      <c r="BY341" s="202"/>
      <c r="BZ341" s="1507"/>
      <c r="CB341" s="1504"/>
      <c r="CC341" s="1488"/>
      <c r="CD341" s="204"/>
      <c r="CE341" s="1501"/>
      <c r="CF341" s="1488"/>
      <c r="CG341" s="204"/>
      <c r="CH341" s="1488"/>
      <c r="CI341" s="1488"/>
      <c r="CJ341" s="204"/>
      <c r="CK341" s="1488"/>
      <c r="CL341" s="1488"/>
      <c r="CM341" s="202"/>
      <c r="CN341" s="1507"/>
    </row>
    <row r="342" spans="2:92" ht="57" x14ac:dyDescent="0.2">
      <c r="B342" s="1469"/>
      <c r="C342" s="1471"/>
      <c r="D342" s="1437"/>
      <c r="E342" s="1462"/>
      <c r="F342" s="1443"/>
      <c r="G342" s="308" t="str">
        <f>+'Plan de Accion apoyo transversa'!X105</f>
        <v>Actividades de navidad (novenas del 16 al 20 de diciembre de 2019) realizadas</v>
      </c>
      <c r="H342" s="1602"/>
      <c r="J342" s="1599"/>
      <c r="K342" s="1448"/>
      <c r="L342" s="1448"/>
      <c r="M342" s="1448"/>
      <c r="N342" s="1448"/>
      <c r="O342" s="1451"/>
      <c r="P342" s="213"/>
      <c r="Q342" s="1599"/>
      <c r="R342" s="1448"/>
      <c r="S342" s="1448"/>
      <c r="T342" s="1448"/>
      <c r="U342" s="1448"/>
      <c r="V342" s="1451"/>
      <c r="W342" s="213"/>
      <c r="X342" s="1599"/>
      <c r="Y342" s="1448"/>
      <c r="Z342" s="1448"/>
      <c r="AA342" s="1454"/>
      <c r="AB342" s="1454"/>
      <c r="AC342" s="1457"/>
      <c r="AD342" s="213"/>
      <c r="AE342" s="1599"/>
      <c r="AF342" s="1448"/>
      <c r="AG342" s="1448"/>
      <c r="AH342" s="1448"/>
      <c r="AI342" s="1451"/>
      <c r="AJ342" s="1482"/>
      <c r="AL342" s="1504"/>
      <c r="AM342" s="1488"/>
      <c r="AN342" s="204"/>
      <c r="AO342" s="1501"/>
      <c r="AP342" s="1488"/>
      <c r="AQ342" s="204"/>
      <c r="AR342" s="1488"/>
      <c r="AS342" s="1488"/>
      <c r="AT342" s="204"/>
      <c r="AU342" s="1488"/>
      <c r="AV342" s="1488"/>
      <c r="AW342" s="202"/>
      <c r="AX342" s="1507"/>
      <c r="AZ342" s="1504"/>
      <c r="BA342" s="1488"/>
      <c r="BB342" s="204"/>
      <c r="BC342" s="1501"/>
      <c r="BD342" s="1488"/>
      <c r="BE342" s="204"/>
      <c r="BF342" s="1488"/>
      <c r="BG342" s="1488"/>
      <c r="BH342" s="204"/>
      <c r="BI342" s="1488"/>
      <c r="BJ342" s="1488"/>
      <c r="BK342" s="202"/>
      <c r="BL342" s="1507"/>
      <c r="BN342" s="1504"/>
      <c r="BO342" s="1488"/>
      <c r="BP342" s="204"/>
      <c r="BQ342" s="1501"/>
      <c r="BR342" s="1488"/>
      <c r="BS342" s="204"/>
      <c r="BT342" s="1488"/>
      <c r="BU342" s="1488"/>
      <c r="BV342" s="204"/>
      <c r="BW342" s="1488"/>
      <c r="BX342" s="1488"/>
      <c r="BY342" s="202"/>
      <c r="BZ342" s="1507"/>
      <c r="CB342" s="1504"/>
      <c r="CC342" s="1488"/>
      <c r="CD342" s="204"/>
      <c r="CE342" s="1501"/>
      <c r="CF342" s="1488"/>
      <c r="CG342" s="204"/>
      <c r="CH342" s="1488"/>
      <c r="CI342" s="1488"/>
      <c r="CJ342" s="204"/>
      <c r="CK342" s="1488"/>
      <c r="CL342" s="1488"/>
      <c r="CM342" s="202"/>
      <c r="CN342" s="1507"/>
    </row>
    <row r="343" spans="2:92" ht="28.5" x14ac:dyDescent="0.2">
      <c r="B343" s="1469"/>
      <c r="C343" s="1471"/>
      <c r="D343" s="1437"/>
      <c r="E343" s="1462"/>
      <c r="F343" s="1443"/>
      <c r="G343" s="308" t="str">
        <f>+'Plan de Accion apoyo transversa'!X106</f>
        <v>Actividad social de Dia del servidor público realizada</v>
      </c>
      <c r="H343" s="1602"/>
      <c r="J343" s="1599"/>
      <c r="K343" s="1448"/>
      <c r="L343" s="1448"/>
      <c r="M343" s="1448"/>
      <c r="N343" s="1448"/>
      <c r="O343" s="1451"/>
      <c r="P343" s="213"/>
      <c r="Q343" s="1599"/>
      <c r="R343" s="1448"/>
      <c r="S343" s="1448"/>
      <c r="T343" s="1448"/>
      <c r="U343" s="1448"/>
      <c r="V343" s="1451"/>
      <c r="W343" s="213"/>
      <c r="X343" s="1599"/>
      <c r="Y343" s="1448"/>
      <c r="Z343" s="1448"/>
      <c r="AA343" s="1454"/>
      <c r="AB343" s="1454"/>
      <c r="AC343" s="1457"/>
      <c r="AD343" s="213"/>
      <c r="AE343" s="1599"/>
      <c r="AF343" s="1448"/>
      <c r="AG343" s="1448"/>
      <c r="AH343" s="1448"/>
      <c r="AI343" s="1451"/>
      <c r="AJ343" s="1482"/>
      <c r="AL343" s="1504"/>
      <c r="AM343" s="1488"/>
      <c r="AN343" s="204"/>
      <c r="AO343" s="1501"/>
      <c r="AP343" s="1488"/>
      <c r="AQ343" s="204"/>
      <c r="AR343" s="1488"/>
      <c r="AS343" s="1488"/>
      <c r="AT343" s="204"/>
      <c r="AU343" s="1488"/>
      <c r="AV343" s="1488"/>
      <c r="AW343" s="202"/>
      <c r="AX343" s="1507"/>
      <c r="AZ343" s="1504"/>
      <c r="BA343" s="1488"/>
      <c r="BB343" s="204"/>
      <c r="BC343" s="1501"/>
      <c r="BD343" s="1488"/>
      <c r="BE343" s="204"/>
      <c r="BF343" s="1488"/>
      <c r="BG343" s="1488"/>
      <c r="BH343" s="204"/>
      <c r="BI343" s="1488"/>
      <c r="BJ343" s="1488"/>
      <c r="BK343" s="202"/>
      <c r="BL343" s="1507"/>
      <c r="BN343" s="1504"/>
      <c r="BO343" s="1488"/>
      <c r="BP343" s="204"/>
      <c r="BQ343" s="1501"/>
      <c r="BR343" s="1488"/>
      <c r="BS343" s="204"/>
      <c r="BT343" s="1488"/>
      <c r="BU343" s="1488"/>
      <c r="BV343" s="204"/>
      <c r="BW343" s="1488"/>
      <c r="BX343" s="1488"/>
      <c r="BY343" s="202"/>
      <c r="BZ343" s="1507"/>
      <c r="CB343" s="1504"/>
      <c r="CC343" s="1488"/>
      <c r="CD343" s="204"/>
      <c r="CE343" s="1501"/>
      <c r="CF343" s="1488"/>
      <c r="CG343" s="204"/>
      <c r="CH343" s="1488"/>
      <c r="CI343" s="1488"/>
      <c r="CJ343" s="204"/>
      <c r="CK343" s="1488"/>
      <c r="CL343" s="1488"/>
      <c r="CM343" s="202"/>
      <c r="CN343" s="1507"/>
    </row>
    <row r="344" spans="2:92" ht="28.5" x14ac:dyDescent="0.2">
      <c r="B344" s="1469"/>
      <c r="C344" s="1471"/>
      <c r="D344" s="1437"/>
      <c r="E344" s="1462"/>
      <c r="F344" s="1443"/>
      <c r="G344" s="308" t="str">
        <f>+'Plan de Accion apoyo transversa'!X107</f>
        <v>Plan prepensionados realizado</v>
      </c>
      <c r="H344" s="1602"/>
      <c r="J344" s="1599"/>
      <c r="K344" s="1448"/>
      <c r="L344" s="1448"/>
      <c r="M344" s="1448"/>
      <c r="N344" s="1448"/>
      <c r="O344" s="1451"/>
      <c r="P344" s="213"/>
      <c r="Q344" s="1599"/>
      <c r="R344" s="1448"/>
      <c r="S344" s="1448"/>
      <c r="T344" s="1448"/>
      <c r="U344" s="1448"/>
      <c r="V344" s="1451"/>
      <c r="W344" s="213"/>
      <c r="X344" s="1599"/>
      <c r="Y344" s="1448"/>
      <c r="Z344" s="1448"/>
      <c r="AA344" s="1454"/>
      <c r="AB344" s="1454"/>
      <c r="AC344" s="1457"/>
      <c r="AD344" s="213"/>
      <c r="AE344" s="1599"/>
      <c r="AF344" s="1448"/>
      <c r="AG344" s="1448"/>
      <c r="AH344" s="1448"/>
      <c r="AI344" s="1451"/>
      <c r="AJ344" s="1482"/>
      <c r="AL344" s="1504"/>
      <c r="AM344" s="1488"/>
      <c r="AN344" s="204"/>
      <c r="AO344" s="1501"/>
      <c r="AP344" s="1488"/>
      <c r="AQ344" s="204"/>
      <c r="AR344" s="1488"/>
      <c r="AS344" s="1488"/>
      <c r="AT344" s="204"/>
      <c r="AU344" s="1488"/>
      <c r="AV344" s="1488"/>
      <c r="AW344" s="202"/>
      <c r="AX344" s="1507"/>
      <c r="AZ344" s="1504"/>
      <c r="BA344" s="1488"/>
      <c r="BB344" s="204"/>
      <c r="BC344" s="1501"/>
      <c r="BD344" s="1488"/>
      <c r="BE344" s="204"/>
      <c r="BF344" s="1488"/>
      <c r="BG344" s="1488"/>
      <c r="BH344" s="204"/>
      <c r="BI344" s="1488"/>
      <c r="BJ344" s="1488"/>
      <c r="BK344" s="202"/>
      <c r="BL344" s="1507"/>
      <c r="BN344" s="1504"/>
      <c r="BO344" s="1488"/>
      <c r="BP344" s="204"/>
      <c r="BQ344" s="1501"/>
      <c r="BR344" s="1488"/>
      <c r="BS344" s="204"/>
      <c r="BT344" s="1488"/>
      <c r="BU344" s="1488"/>
      <c r="BV344" s="204"/>
      <c r="BW344" s="1488"/>
      <c r="BX344" s="1488"/>
      <c r="BY344" s="202"/>
      <c r="BZ344" s="1507"/>
      <c r="CB344" s="1504"/>
      <c r="CC344" s="1488"/>
      <c r="CD344" s="204"/>
      <c r="CE344" s="1501"/>
      <c r="CF344" s="1488"/>
      <c r="CG344" s="204"/>
      <c r="CH344" s="1488"/>
      <c r="CI344" s="1488"/>
      <c r="CJ344" s="204"/>
      <c r="CK344" s="1488"/>
      <c r="CL344" s="1488"/>
      <c r="CM344" s="202"/>
      <c r="CN344" s="1507"/>
    </row>
    <row r="345" spans="2:92" ht="42.75" x14ac:dyDescent="0.2">
      <c r="B345" s="1469"/>
      <c r="C345" s="1471"/>
      <c r="D345" s="1437"/>
      <c r="E345" s="1462"/>
      <c r="F345" s="1443"/>
      <c r="G345" s="308" t="str">
        <f>+'Plan de Accion apoyo transversa'!X108</f>
        <v>Jornada de salud sobre: Prevención cardiovascular realizada</v>
      </c>
      <c r="H345" s="1602"/>
      <c r="J345" s="1599"/>
      <c r="K345" s="1448"/>
      <c r="L345" s="1448"/>
      <c r="M345" s="1448"/>
      <c r="N345" s="1448"/>
      <c r="O345" s="1451"/>
      <c r="P345" s="213"/>
      <c r="Q345" s="1599"/>
      <c r="R345" s="1448"/>
      <c r="S345" s="1448"/>
      <c r="T345" s="1448"/>
      <c r="U345" s="1448"/>
      <c r="V345" s="1451"/>
      <c r="W345" s="213"/>
      <c r="X345" s="1599"/>
      <c r="Y345" s="1448"/>
      <c r="Z345" s="1448"/>
      <c r="AA345" s="1454"/>
      <c r="AB345" s="1454"/>
      <c r="AC345" s="1457"/>
      <c r="AD345" s="213"/>
      <c r="AE345" s="1599"/>
      <c r="AF345" s="1448"/>
      <c r="AG345" s="1448"/>
      <c r="AH345" s="1448"/>
      <c r="AI345" s="1451"/>
      <c r="AJ345" s="1482"/>
      <c r="AL345" s="1504"/>
      <c r="AM345" s="1488"/>
      <c r="AN345" s="204"/>
      <c r="AO345" s="1501"/>
      <c r="AP345" s="1488"/>
      <c r="AQ345" s="204"/>
      <c r="AR345" s="1488"/>
      <c r="AS345" s="1488"/>
      <c r="AT345" s="204"/>
      <c r="AU345" s="1488"/>
      <c r="AV345" s="1488"/>
      <c r="AW345" s="202"/>
      <c r="AX345" s="1507"/>
      <c r="AZ345" s="1504"/>
      <c r="BA345" s="1488"/>
      <c r="BB345" s="204"/>
      <c r="BC345" s="1501"/>
      <c r="BD345" s="1488"/>
      <c r="BE345" s="204"/>
      <c r="BF345" s="1488"/>
      <c r="BG345" s="1488"/>
      <c r="BH345" s="204"/>
      <c r="BI345" s="1488"/>
      <c r="BJ345" s="1488"/>
      <c r="BK345" s="202"/>
      <c r="BL345" s="1507"/>
      <c r="BN345" s="1504"/>
      <c r="BO345" s="1488"/>
      <c r="BP345" s="204"/>
      <c r="BQ345" s="1501"/>
      <c r="BR345" s="1488"/>
      <c r="BS345" s="204"/>
      <c r="BT345" s="1488"/>
      <c r="BU345" s="1488"/>
      <c r="BV345" s="204"/>
      <c r="BW345" s="1488"/>
      <c r="BX345" s="1488"/>
      <c r="BY345" s="202"/>
      <c r="BZ345" s="1507"/>
      <c r="CB345" s="1504"/>
      <c r="CC345" s="1488"/>
      <c r="CD345" s="204"/>
      <c r="CE345" s="1501"/>
      <c r="CF345" s="1488"/>
      <c r="CG345" s="204"/>
      <c r="CH345" s="1488"/>
      <c r="CI345" s="1488"/>
      <c r="CJ345" s="204"/>
      <c r="CK345" s="1488"/>
      <c r="CL345" s="1488"/>
      <c r="CM345" s="202"/>
      <c r="CN345" s="1507"/>
    </row>
    <row r="346" spans="2:92" ht="28.5" x14ac:dyDescent="0.2">
      <c r="B346" s="1469"/>
      <c r="C346" s="1471"/>
      <c r="D346" s="1437"/>
      <c r="E346" s="1462"/>
      <c r="F346" s="1443"/>
      <c r="G346" s="308" t="str">
        <f>+'Plan de Accion apoyo transversa'!X109</f>
        <v>Jornada de salud sobre: Pausas activas realizadas</v>
      </c>
      <c r="H346" s="1602"/>
      <c r="J346" s="1599"/>
      <c r="K346" s="1448"/>
      <c r="L346" s="1448"/>
      <c r="M346" s="1448"/>
      <c r="N346" s="1448"/>
      <c r="O346" s="1451"/>
      <c r="P346" s="213"/>
      <c r="Q346" s="1599"/>
      <c r="R346" s="1448"/>
      <c r="S346" s="1448"/>
      <c r="T346" s="1448"/>
      <c r="U346" s="1448"/>
      <c r="V346" s="1451"/>
      <c r="W346" s="213"/>
      <c r="X346" s="1599"/>
      <c r="Y346" s="1448"/>
      <c r="Z346" s="1448"/>
      <c r="AA346" s="1454"/>
      <c r="AB346" s="1454"/>
      <c r="AC346" s="1457"/>
      <c r="AD346" s="213"/>
      <c r="AE346" s="1599"/>
      <c r="AF346" s="1448"/>
      <c r="AG346" s="1448"/>
      <c r="AH346" s="1448"/>
      <c r="AI346" s="1451"/>
      <c r="AJ346" s="1482"/>
      <c r="AL346" s="1504"/>
      <c r="AM346" s="1488"/>
      <c r="AN346" s="204"/>
      <c r="AO346" s="1501"/>
      <c r="AP346" s="1488"/>
      <c r="AQ346" s="204"/>
      <c r="AR346" s="1488"/>
      <c r="AS346" s="1488"/>
      <c r="AT346" s="204"/>
      <c r="AU346" s="1488"/>
      <c r="AV346" s="1488"/>
      <c r="AW346" s="202"/>
      <c r="AX346" s="1507"/>
      <c r="AZ346" s="1504"/>
      <c r="BA346" s="1488"/>
      <c r="BB346" s="204"/>
      <c r="BC346" s="1501"/>
      <c r="BD346" s="1488"/>
      <c r="BE346" s="204"/>
      <c r="BF346" s="1488"/>
      <c r="BG346" s="1488"/>
      <c r="BH346" s="204"/>
      <c r="BI346" s="1488"/>
      <c r="BJ346" s="1488"/>
      <c r="BK346" s="202"/>
      <c r="BL346" s="1507"/>
      <c r="BN346" s="1504"/>
      <c r="BO346" s="1488"/>
      <c r="BP346" s="204"/>
      <c r="BQ346" s="1501"/>
      <c r="BR346" s="1488"/>
      <c r="BS346" s="204"/>
      <c r="BT346" s="1488"/>
      <c r="BU346" s="1488"/>
      <c r="BV346" s="204"/>
      <c r="BW346" s="1488"/>
      <c r="BX346" s="1488"/>
      <c r="BY346" s="202"/>
      <c r="BZ346" s="1507"/>
      <c r="CB346" s="1504"/>
      <c r="CC346" s="1488"/>
      <c r="CD346" s="204"/>
      <c r="CE346" s="1501"/>
      <c r="CF346" s="1488"/>
      <c r="CG346" s="204"/>
      <c r="CH346" s="1488"/>
      <c r="CI346" s="1488"/>
      <c r="CJ346" s="204"/>
      <c r="CK346" s="1488"/>
      <c r="CL346" s="1488"/>
      <c r="CM346" s="202"/>
      <c r="CN346" s="1507"/>
    </row>
    <row r="347" spans="2:92" ht="28.5" x14ac:dyDescent="0.2">
      <c r="B347" s="1469"/>
      <c r="C347" s="1471"/>
      <c r="D347" s="1437"/>
      <c r="E347" s="1462"/>
      <c r="F347" s="1443"/>
      <c r="G347" s="308" t="str">
        <f>+'Plan de Accion apoyo transversa'!X110</f>
        <v>Actividad de Incentivos realizada</v>
      </c>
      <c r="H347" s="1602"/>
      <c r="J347" s="1599"/>
      <c r="K347" s="1448"/>
      <c r="L347" s="1448"/>
      <c r="M347" s="1448"/>
      <c r="N347" s="1448"/>
      <c r="O347" s="1451"/>
      <c r="P347" s="213"/>
      <c r="Q347" s="1599"/>
      <c r="R347" s="1448"/>
      <c r="S347" s="1448"/>
      <c r="T347" s="1448"/>
      <c r="U347" s="1448"/>
      <c r="V347" s="1451"/>
      <c r="W347" s="213"/>
      <c r="X347" s="1599"/>
      <c r="Y347" s="1448"/>
      <c r="Z347" s="1448"/>
      <c r="AA347" s="1454"/>
      <c r="AB347" s="1454"/>
      <c r="AC347" s="1457"/>
      <c r="AD347" s="213"/>
      <c r="AE347" s="1599"/>
      <c r="AF347" s="1448"/>
      <c r="AG347" s="1448"/>
      <c r="AH347" s="1448"/>
      <c r="AI347" s="1451"/>
      <c r="AJ347" s="1482"/>
      <c r="AL347" s="1504"/>
      <c r="AM347" s="1488"/>
      <c r="AN347" s="204"/>
      <c r="AO347" s="1501"/>
      <c r="AP347" s="1488"/>
      <c r="AQ347" s="204"/>
      <c r="AR347" s="1488"/>
      <c r="AS347" s="1488"/>
      <c r="AT347" s="204"/>
      <c r="AU347" s="1488"/>
      <c r="AV347" s="1488"/>
      <c r="AW347" s="202"/>
      <c r="AX347" s="1507"/>
      <c r="AZ347" s="1504"/>
      <c r="BA347" s="1488"/>
      <c r="BB347" s="204"/>
      <c r="BC347" s="1501"/>
      <c r="BD347" s="1488"/>
      <c r="BE347" s="204"/>
      <c r="BF347" s="1488"/>
      <c r="BG347" s="1488"/>
      <c r="BH347" s="204"/>
      <c r="BI347" s="1488"/>
      <c r="BJ347" s="1488"/>
      <c r="BK347" s="202"/>
      <c r="BL347" s="1507"/>
      <c r="BN347" s="1504"/>
      <c r="BO347" s="1488"/>
      <c r="BP347" s="204"/>
      <c r="BQ347" s="1501"/>
      <c r="BR347" s="1488"/>
      <c r="BS347" s="204"/>
      <c r="BT347" s="1488"/>
      <c r="BU347" s="1488"/>
      <c r="BV347" s="204"/>
      <c r="BW347" s="1488"/>
      <c r="BX347" s="1488"/>
      <c r="BY347" s="202"/>
      <c r="BZ347" s="1507"/>
      <c r="CB347" s="1504"/>
      <c r="CC347" s="1488"/>
      <c r="CD347" s="204"/>
      <c r="CE347" s="1501"/>
      <c r="CF347" s="1488"/>
      <c r="CG347" s="204"/>
      <c r="CH347" s="1488"/>
      <c r="CI347" s="1488"/>
      <c r="CJ347" s="204"/>
      <c r="CK347" s="1488"/>
      <c r="CL347" s="1488"/>
      <c r="CM347" s="202"/>
      <c r="CN347" s="1507"/>
    </row>
    <row r="348" spans="2:92" ht="28.5" x14ac:dyDescent="0.2">
      <c r="B348" s="1469"/>
      <c r="C348" s="1471"/>
      <c r="D348" s="1437"/>
      <c r="E348" s="1462"/>
      <c r="F348" s="1443"/>
      <c r="G348" s="308" t="str">
        <f>+'Plan de Accion apoyo transversa'!X111</f>
        <v>Actividad de Cierre de gestión realizada</v>
      </c>
      <c r="H348" s="1602"/>
      <c r="J348" s="1599"/>
      <c r="K348" s="1448"/>
      <c r="L348" s="1448"/>
      <c r="M348" s="1448"/>
      <c r="N348" s="1448"/>
      <c r="O348" s="1451"/>
      <c r="P348" s="213"/>
      <c r="Q348" s="1599"/>
      <c r="R348" s="1448"/>
      <c r="S348" s="1448"/>
      <c r="T348" s="1448"/>
      <c r="U348" s="1448"/>
      <c r="V348" s="1451"/>
      <c r="W348" s="213"/>
      <c r="X348" s="1599"/>
      <c r="Y348" s="1448"/>
      <c r="Z348" s="1448"/>
      <c r="AA348" s="1454"/>
      <c r="AB348" s="1454"/>
      <c r="AC348" s="1457"/>
      <c r="AD348" s="213"/>
      <c r="AE348" s="1599"/>
      <c r="AF348" s="1448"/>
      <c r="AG348" s="1448"/>
      <c r="AH348" s="1448"/>
      <c r="AI348" s="1451"/>
      <c r="AJ348" s="1482"/>
      <c r="AL348" s="1504"/>
      <c r="AM348" s="1488"/>
      <c r="AN348" s="204"/>
      <c r="AO348" s="1501"/>
      <c r="AP348" s="1488"/>
      <c r="AQ348" s="204"/>
      <c r="AR348" s="1488"/>
      <c r="AS348" s="1488"/>
      <c r="AT348" s="204"/>
      <c r="AU348" s="1488"/>
      <c r="AV348" s="1488"/>
      <c r="AW348" s="202"/>
      <c r="AX348" s="1507"/>
      <c r="AZ348" s="1504"/>
      <c r="BA348" s="1488"/>
      <c r="BB348" s="204"/>
      <c r="BC348" s="1501"/>
      <c r="BD348" s="1488"/>
      <c r="BE348" s="204"/>
      <c r="BF348" s="1488"/>
      <c r="BG348" s="1488"/>
      <c r="BH348" s="204"/>
      <c r="BI348" s="1488"/>
      <c r="BJ348" s="1488"/>
      <c r="BK348" s="202"/>
      <c r="BL348" s="1507"/>
      <c r="BN348" s="1504"/>
      <c r="BO348" s="1488"/>
      <c r="BP348" s="204"/>
      <c r="BQ348" s="1501"/>
      <c r="BR348" s="1488"/>
      <c r="BS348" s="204"/>
      <c r="BT348" s="1488"/>
      <c r="BU348" s="1488"/>
      <c r="BV348" s="204"/>
      <c r="BW348" s="1488"/>
      <c r="BX348" s="1488"/>
      <c r="BY348" s="202"/>
      <c r="BZ348" s="1507"/>
      <c r="CB348" s="1504"/>
      <c r="CC348" s="1488"/>
      <c r="CD348" s="204"/>
      <c r="CE348" s="1501"/>
      <c r="CF348" s="1488"/>
      <c r="CG348" s="204"/>
      <c r="CH348" s="1488"/>
      <c r="CI348" s="1488"/>
      <c r="CJ348" s="204"/>
      <c r="CK348" s="1488"/>
      <c r="CL348" s="1488"/>
      <c r="CM348" s="202"/>
      <c r="CN348" s="1507"/>
    </row>
    <row r="349" spans="2:92" ht="15" x14ac:dyDescent="0.2">
      <c r="B349" s="1469"/>
      <c r="C349" s="1471"/>
      <c r="D349" s="1437"/>
      <c r="E349" s="1462"/>
      <c r="F349" s="1443"/>
      <c r="G349" s="549" t="str">
        <f>+'Plan de Accion apoyo transversa'!X112</f>
        <v>Gimnasio convenio</v>
      </c>
      <c r="H349" s="1603"/>
      <c r="J349" s="1600"/>
      <c r="K349" s="1449"/>
      <c r="L349" s="1449"/>
      <c r="M349" s="1449"/>
      <c r="N349" s="1449"/>
      <c r="O349" s="1452"/>
      <c r="P349" s="213"/>
      <c r="Q349" s="1600"/>
      <c r="R349" s="1449"/>
      <c r="S349" s="1449"/>
      <c r="T349" s="1449"/>
      <c r="U349" s="1449"/>
      <c r="V349" s="1452"/>
      <c r="W349" s="213"/>
      <c r="X349" s="1600"/>
      <c r="Y349" s="1449"/>
      <c r="Z349" s="1449"/>
      <c r="AA349" s="1455"/>
      <c r="AB349" s="1455"/>
      <c r="AC349" s="1458"/>
      <c r="AD349" s="213"/>
      <c r="AE349" s="1600"/>
      <c r="AF349" s="1449"/>
      <c r="AG349" s="1449"/>
      <c r="AH349" s="1449"/>
      <c r="AI349" s="1452"/>
      <c r="AJ349" s="1482"/>
      <c r="AL349" s="1504"/>
      <c r="AM349" s="1488"/>
      <c r="AN349" s="204"/>
      <c r="AO349" s="1501"/>
      <c r="AP349" s="1488"/>
      <c r="AQ349" s="204"/>
      <c r="AR349" s="1488"/>
      <c r="AS349" s="1488"/>
      <c r="AT349" s="204"/>
      <c r="AU349" s="1488"/>
      <c r="AV349" s="1488"/>
      <c r="AW349" s="202"/>
      <c r="AX349" s="1507"/>
      <c r="AZ349" s="1504"/>
      <c r="BA349" s="1488"/>
      <c r="BB349" s="204"/>
      <c r="BC349" s="1501"/>
      <c r="BD349" s="1488"/>
      <c r="BE349" s="204"/>
      <c r="BF349" s="1488"/>
      <c r="BG349" s="1488"/>
      <c r="BH349" s="204"/>
      <c r="BI349" s="1488"/>
      <c r="BJ349" s="1488"/>
      <c r="BK349" s="202"/>
      <c r="BL349" s="1507"/>
      <c r="BN349" s="1504"/>
      <c r="BO349" s="1488"/>
      <c r="BP349" s="204"/>
      <c r="BQ349" s="1501"/>
      <c r="BR349" s="1488"/>
      <c r="BS349" s="204"/>
      <c r="BT349" s="1488"/>
      <c r="BU349" s="1488"/>
      <c r="BV349" s="204"/>
      <c r="BW349" s="1488"/>
      <c r="BX349" s="1488"/>
      <c r="BY349" s="202"/>
      <c r="BZ349" s="1507"/>
      <c r="CB349" s="1504"/>
      <c r="CC349" s="1488"/>
      <c r="CD349" s="204"/>
      <c r="CE349" s="1501"/>
      <c r="CF349" s="1488"/>
      <c r="CG349" s="204"/>
      <c r="CH349" s="1488"/>
      <c r="CI349" s="1488"/>
      <c r="CJ349" s="204"/>
      <c r="CK349" s="1488"/>
      <c r="CL349" s="1488"/>
      <c r="CM349" s="202"/>
      <c r="CN349" s="1507"/>
    </row>
    <row r="350" spans="2:92" ht="28.5" x14ac:dyDescent="0.2">
      <c r="B350" s="1469"/>
      <c r="C350" s="1471"/>
      <c r="D350" s="1437"/>
      <c r="E350" s="1462"/>
      <c r="F350" s="1443"/>
      <c r="G350" s="308" t="str">
        <f>+'Plan de Accion apoyo transversa'!X114</f>
        <v>Medición del clima laboral realizada</v>
      </c>
      <c r="H350" s="224" t="str">
        <f>+'Plan de Accion apoyo transversa'!AK114</f>
        <v># Actividades de bienestar realizadas</v>
      </c>
      <c r="J350" s="218">
        <f>+'Plan de Accion apoyo transversa'!AT114</f>
        <v>0</v>
      </c>
      <c r="K350" s="476" t="str">
        <f>+'Plan de Accion apoyo transversa'!CE114</f>
        <v>No Prog ni Ejec</v>
      </c>
      <c r="L350" s="476" t="s">
        <v>204</v>
      </c>
      <c r="M350" s="476">
        <f>+'Plan de Accion apoyo transversa'!AX114</f>
        <v>0</v>
      </c>
      <c r="N350" s="476">
        <f t="shared" si="306"/>
        <v>0</v>
      </c>
      <c r="O350" s="478" t="s">
        <v>204</v>
      </c>
      <c r="P350" s="213"/>
      <c r="Q350" s="218">
        <f>+'Plan de Accion apoyo transversa'!BD114</f>
        <v>0</v>
      </c>
      <c r="R350" s="304" t="str">
        <f>+'Plan de Accion apoyo transversa'!CG114</f>
        <v>No Prog ni Ejec</v>
      </c>
      <c r="S350" s="248" t="s">
        <v>204</v>
      </c>
      <c r="T350" s="304">
        <f>+'Plan de Accion apoyo transversa'!BH114</f>
        <v>0</v>
      </c>
      <c r="U350" s="304">
        <f t="shared" si="317"/>
        <v>0</v>
      </c>
      <c r="V350" s="211" t="s">
        <v>204</v>
      </c>
      <c r="W350" s="213"/>
      <c r="X350" s="218">
        <f>+'Plan de Accion apoyo transversa'!BN114</f>
        <v>0</v>
      </c>
      <c r="Y350" s="304">
        <f>+'Plan de Accion apoyo transversa'!CI114</f>
        <v>0</v>
      </c>
      <c r="Z350" s="212">
        <f>IF(Y350&gt;100%,100%,Y350)</f>
        <v>0</v>
      </c>
      <c r="AA350" s="217">
        <f>+'Plan de Accion apoyo transversa'!BR114</f>
        <v>0</v>
      </c>
      <c r="AB350" s="217">
        <f t="shared" si="318"/>
        <v>0</v>
      </c>
      <c r="AC350" s="216">
        <f t="shared" si="319"/>
        <v>0</v>
      </c>
      <c r="AD350" s="213"/>
      <c r="AE350" s="218">
        <f>+'Plan de Accion apoyo transversa'!BX114</f>
        <v>1</v>
      </c>
      <c r="AF350" s="304" t="str">
        <f>+'Plan de Accion apoyo transversa'!CK114</f>
        <v>No Prog, Ejec=  1</v>
      </c>
      <c r="AG350" s="212">
        <f t="shared" ref="AG350" si="321">IF(AF350&gt;100%,100%,AF350)</f>
        <v>1</v>
      </c>
      <c r="AH350" s="304">
        <f>+'Plan de Accion apoyo transversa'!CB114</f>
        <v>1</v>
      </c>
      <c r="AI350" s="211">
        <f t="shared" si="320"/>
        <v>1</v>
      </c>
      <c r="AJ350" s="1482"/>
      <c r="AL350" s="1504"/>
      <c r="AM350" s="1488"/>
      <c r="AN350" s="204"/>
      <c r="AO350" s="1501"/>
      <c r="AP350" s="1488"/>
      <c r="AQ350" s="204"/>
      <c r="AR350" s="1488"/>
      <c r="AS350" s="1488"/>
      <c r="AT350" s="204"/>
      <c r="AU350" s="1488"/>
      <c r="AV350" s="1488"/>
      <c r="AW350" s="202"/>
      <c r="AX350" s="1507"/>
      <c r="AZ350" s="1504"/>
      <c r="BA350" s="1488"/>
      <c r="BB350" s="204"/>
      <c r="BC350" s="1501"/>
      <c r="BD350" s="1488"/>
      <c r="BE350" s="204"/>
      <c r="BF350" s="1488"/>
      <c r="BG350" s="1488"/>
      <c r="BH350" s="204"/>
      <c r="BI350" s="1488"/>
      <c r="BJ350" s="1488"/>
      <c r="BK350" s="202"/>
      <c r="BL350" s="1507"/>
      <c r="BN350" s="1504"/>
      <c r="BO350" s="1488"/>
      <c r="BP350" s="204"/>
      <c r="BQ350" s="1501"/>
      <c r="BR350" s="1488"/>
      <c r="BS350" s="204"/>
      <c r="BT350" s="1488"/>
      <c r="BU350" s="1488"/>
      <c r="BV350" s="204"/>
      <c r="BW350" s="1488"/>
      <c r="BX350" s="1488"/>
      <c r="BY350" s="202"/>
      <c r="BZ350" s="1507"/>
      <c r="CB350" s="1504"/>
      <c r="CC350" s="1488"/>
      <c r="CD350" s="204"/>
      <c r="CE350" s="1501"/>
      <c r="CF350" s="1488"/>
      <c r="CG350" s="204"/>
      <c r="CH350" s="1488"/>
      <c r="CI350" s="1488"/>
      <c r="CJ350" s="204"/>
      <c r="CK350" s="1488"/>
      <c r="CL350" s="1488"/>
      <c r="CM350" s="202"/>
      <c r="CN350" s="1507"/>
    </row>
    <row r="351" spans="2:92" ht="28.5" x14ac:dyDescent="0.2">
      <c r="B351" s="1469"/>
      <c r="C351" s="1471"/>
      <c r="D351" s="1437"/>
      <c r="E351" s="1462"/>
      <c r="F351" s="1443"/>
      <c r="G351" s="308" t="str">
        <f>+'Plan de Accion apoyo transversa'!X113</f>
        <v>Caminata ecológica realizada</v>
      </c>
      <c r="H351" s="224" t="str">
        <f>+'Plan de Accion apoyo transversa'!AK94</f>
        <v># Actividades de bienestar realizadas</v>
      </c>
      <c r="J351" s="218">
        <f>+'Plan de Accion apoyo transversa'!AT114</f>
        <v>0</v>
      </c>
      <c r="K351" s="544" t="str">
        <f>+'Plan de Accion apoyo transversa'!CE114</f>
        <v>No Prog ni Ejec</v>
      </c>
      <c r="L351" s="544" t="s">
        <v>204</v>
      </c>
      <c r="M351" s="544">
        <f>+'Plan de Accion apoyo transversa'!AX114</f>
        <v>0</v>
      </c>
      <c r="N351" s="544">
        <f t="shared" ref="N351" si="322">IF(M351&gt;100%,100%,M351)</f>
        <v>0</v>
      </c>
      <c r="O351" s="546" t="s">
        <v>204</v>
      </c>
      <c r="P351" s="213"/>
      <c r="Q351" s="218" t="s">
        <v>204</v>
      </c>
      <c r="R351" s="544" t="s">
        <v>180</v>
      </c>
      <c r="S351" s="248" t="s">
        <v>204</v>
      </c>
      <c r="T351" s="544" t="s">
        <v>204</v>
      </c>
      <c r="U351" s="544" t="s">
        <v>204</v>
      </c>
      <c r="V351" s="211" t="str">
        <f>+U351</f>
        <v>N.A</v>
      </c>
      <c r="W351" s="213"/>
      <c r="X351" s="218" t="s">
        <v>204</v>
      </c>
      <c r="Y351" s="544" t="s">
        <v>180</v>
      </c>
      <c r="Z351" s="212" t="s">
        <v>204</v>
      </c>
      <c r="AA351" s="217" t="s">
        <v>204</v>
      </c>
      <c r="AB351" s="217" t="s">
        <v>204</v>
      </c>
      <c r="AC351" s="216" t="str">
        <f t="shared" ref="AC351" si="323">+AB351</f>
        <v>N.A</v>
      </c>
      <c r="AD351" s="213"/>
      <c r="AE351" s="218" t="s">
        <v>204</v>
      </c>
      <c r="AF351" s="544" t="s">
        <v>180</v>
      </c>
      <c r="AG351" s="212" t="s">
        <v>204</v>
      </c>
      <c r="AH351" s="544" t="s">
        <v>204</v>
      </c>
      <c r="AI351" s="211" t="s">
        <v>204</v>
      </c>
      <c r="AJ351" s="1482"/>
      <c r="AL351" s="1504"/>
      <c r="AM351" s="1488"/>
      <c r="AN351" s="204"/>
      <c r="AO351" s="1501"/>
      <c r="AP351" s="1488"/>
      <c r="AQ351" s="204"/>
      <c r="AR351" s="1488"/>
      <c r="AS351" s="1488"/>
      <c r="AT351" s="204"/>
      <c r="AU351" s="1488"/>
      <c r="AV351" s="1488"/>
      <c r="AW351" s="202"/>
      <c r="AX351" s="1507"/>
      <c r="AZ351" s="1504"/>
      <c r="BA351" s="1488"/>
      <c r="BB351" s="204"/>
      <c r="BC351" s="1501"/>
      <c r="BD351" s="1488"/>
      <c r="BE351" s="204"/>
      <c r="BF351" s="1488"/>
      <c r="BG351" s="1488"/>
      <c r="BH351" s="204"/>
      <c r="BI351" s="1488"/>
      <c r="BJ351" s="1488"/>
      <c r="BK351" s="202"/>
      <c r="BL351" s="1507"/>
      <c r="BN351" s="1504"/>
      <c r="BO351" s="1488"/>
      <c r="BP351" s="204"/>
      <c r="BQ351" s="1501"/>
      <c r="BR351" s="1488"/>
      <c r="BS351" s="204"/>
      <c r="BT351" s="1488"/>
      <c r="BU351" s="1488"/>
      <c r="BV351" s="204"/>
      <c r="BW351" s="1488"/>
      <c r="BX351" s="1488"/>
      <c r="BY351" s="202"/>
      <c r="BZ351" s="1507"/>
      <c r="CB351" s="1504"/>
      <c r="CC351" s="1488"/>
      <c r="CD351" s="204"/>
      <c r="CE351" s="1501"/>
      <c r="CF351" s="1488"/>
      <c r="CG351" s="204"/>
      <c r="CH351" s="1488"/>
      <c r="CI351" s="1488"/>
      <c r="CJ351" s="204"/>
      <c r="CK351" s="1488"/>
      <c r="CL351" s="1488"/>
      <c r="CM351" s="202"/>
      <c r="CN351" s="1507"/>
    </row>
    <row r="352" spans="2:92" ht="28.5" x14ac:dyDescent="0.2">
      <c r="B352" s="1469"/>
      <c r="C352" s="1471"/>
      <c r="D352" s="1437"/>
      <c r="E352" s="1462"/>
      <c r="F352" s="1443"/>
      <c r="G352" s="308" t="str">
        <f>+'Plan de Accion apoyo transversa'!X115</f>
        <v>Jornada de salud sobre: Salud visual realizada</v>
      </c>
      <c r="H352" s="224" t="str">
        <f>+'Plan de Accion apoyo transversa'!AK115</f>
        <v># Actividades de bienestar realizadas</v>
      </c>
      <c r="J352" s="218">
        <f>+'Plan de Accion apoyo transversa'!AT115</f>
        <v>0</v>
      </c>
      <c r="K352" s="476" t="str">
        <f>+'Plan de Accion apoyo transversa'!CE115</f>
        <v>No Prog ni Ejec</v>
      </c>
      <c r="L352" s="476" t="s">
        <v>204</v>
      </c>
      <c r="M352" s="476">
        <f>+'Plan de Accion apoyo transversa'!AX115</f>
        <v>0</v>
      </c>
      <c r="N352" s="476">
        <f t="shared" si="306"/>
        <v>0</v>
      </c>
      <c r="O352" s="478" t="s">
        <v>204</v>
      </c>
      <c r="P352" s="213"/>
      <c r="Q352" s="218" t="s">
        <v>204</v>
      </c>
      <c r="R352" s="304" t="s">
        <v>180</v>
      </c>
      <c r="S352" s="248" t="s">
        <v>204</v>
      </c>
      <c r="T352" s="304" t="s">
        <v>204</v>
      </c>
      <c r="U352" s="304" t="s">
        <v>204</v>
      </c>
      <c r="V352" s="211" t="str">
        <f>+U352</f>
        <v>N.A</v>
      </c>
      <c r="W352" s="213"/>
      <c r="X352" s="218" t="s">
        <v>204</v>
      </c>
      <c r="Y352" s="304" t="str">
        <f>+'Plan de Accion apoyo transversa'!CI115</f>
        <v>No Prog ni Ejec</v>
      </c>
      <c r="Z352" s="212" t="s">
        <v>204</v>
      </c>
      <c r="AA352" s="217" t="s">
        <v>204</v>
      </c>
      <c r="AB352" s="217" t="s">
        <v>204</v>
      </c>
      <c r="AC352" s="216" t="str">
        <f t="shared" si="319"/>
        <v>N.A</v>
      </c>
      <c r="AD352" s="213"/>
      <c r="AE352" s="218" t="s">
        <v>204</v>
      </c>
      <c r="AF352" s="304" t="s">
        <v>180</v>
      </c>
      <c r="AG352" s="212" t="s">
        <v>204</v>
      </c>
      <c r="AH352" s="304" t="s">
        <v>204</v>
      </c>
      <c r="AI352" s="211" t="s">
        <v>204</v>
      </c>
      <c r="AJ352" s="1482"/>
      <c r="AL352" s="1504"/>
      <c r="AM352" s="1488"/>
      <c r="AN352" s="204"/>
      <c r="AO352" s="1501"/>
      <c r="AP352" s="1488"/>
      <c r="AQ352" s="204"/>
      <c r="AR352" s="1488"/>
      <c r="AS352" s="1488"/>
      <c r="AT352" s="204"/>
      <c r="AU352" s="1488"/>
      <c r="AV352" s="1488"/>
      <c r="AW352" s="202"/>
      <c r="AX352" s="1507"/>
      <c r="AZ352" s="1504"/>
      <c r="BA352" s="1488"/>
      <c r="BB352" s="204"/>
      <c r="BC352" s="1501"/>
      <c r="BD352" s="1488"/>
      <c r="BE352" s="204"/>
      <c r="BF352" s="1488"/>
      <c r="BG352" s="1488"/>
      <c r="BH352" s="204"/>
      <c r="BI352" s="1488"/>
      <c r="BJ352" s="1488"/>
      <c r="BK352" s="202"/>
      <c r="BL352" s="1507"/>
      <c r="BN352" s="1504"/>
      <c r="BO352" s="1488"/>
      <c r="BP352" s="204"/>
      <c r="BQ352" s="1501"/>
      <c r="BR352" s="1488"/>
      <c r="BS352" s="204"/>
      <c r="BT352" s="1488"/>
      <c r="BU352" s="1488"/>
      <c r="BV352" s="204"/>
      <c r="BW352" s="1488"/>
      <c r="BX352" s="1488"/>
      <c r="BY352" s="202"/>
      <c r="BZ352" s="1507"/>
      <c r="CB352" s="1504"/>
      <c r="CC352" s="1488"/>
      <c r="CD352" s="204"/>
      <c r="CE352" s="1501"/>
      <c r="CF352" s="1488"/>
      <c r="CG352" s="204"/>
      <c r="CH352" s="1488"/>
      <c r="CI352" s="1488"/>
      <c r="CJ352" s="204"/>
      <c r="CK352" s="1488"/>
      <c r="CL352" s="1488"/>
      <c r="CM352" s="202"/>
      <c r="CN352" s="1507"/>
    </row>
    <row r="353" spans="2:92" ht="28.5" x14ac:dyDescent="0.2">
      <c r="B353" s="1469"/>
      <c r="C353" s="1471"/>
      <c r="D353" s="1437"/>
      <c r="E353" s="1462"/>
      <c r="F353" s="1443"/>
      <c r="G353" s="308" t="str">
        <f>+'Plan de Accion apoyo transversa'!X116</f>
        <v>Jornada de salud sobre: Salud Oral realizada</v>
      </c>
      <c r="H353" s="224" t="str">
        <f>+'Plan de Accion apoyo transversa'!AK116</f>
        <v># Actividades de bienestar realizadas</v>
      </c>
      <c r="J353" s="218">
        <f>+'Plan de Accion apoyo transversa'!AT116</f>
        <v>0</v>
      </c>
      <c r="K353" s="476" t="str">
        <f>+'Plan de Accion apoyo transversa'!CE116</f>
        <v>No Prog ni Ejec</v>
      </c>
      <c r="L353" s="476" t="s">
        <v>204</v>
      </c>
      <c r="M353" s="476">
        <f>+'Plan de Accion apoyo transversa'!AX116</f>
        <v>0</v>
      </c>
      <c r="N353" s="476">
        <f t="shared" si="306"/>
        <v>0</v>
      </c>
      <c r="O353" s="478" t="s">
        <v>204</v>
      </c>
      <c r="P353" s="213"/>
      <c r="Q353" s="218" t="s">
        <v>204</v>
      </c>
      <c r="R353" s="544" t="s">
        <v>180</v>
      </c>
      <c r="S353" s="248" t="s">
        <v>204</v>
      </c>
      <c r="T353" s="544" t="s">
        <v>204</v>
      </c>
      <c r="U353" s="544" t="s">
        <v>204</v>
      </c>
      <c r="V353" s="211" t="str">
        <f>+U353</f>
        <v>N.A</v>
      </c>
      <c r="W353" s="213"/>
      <c r="X353" s="218" t="s">
        <v>204</v>
      </c>
      <c r="Y353" s="544" t="str">
        <f>+'Plan de Accion apoyo transversa'!CI116</f>
        <v>No Prog ni Ejec</v>
      </c>
      <c r="Z353" s="212" t="s">
        <v>204</v>
      </c>
      <c r="AA353" s="217" t="s">
        <v>204</v>
      </c>
      <c r="AB353" s="217" t="s">
        <v>204</v>
      </c>
      <c r="AC353" s="216" t="str">
        <f t="shared" ref="AC353" si="324">+AB353</f>
        <v>N.A</v>
      </c>
      <c r="AD353" s="213"/>
      <c r="AE353" s="218" t="s">
        <v>204</v>
      </c>
      <c r="AF353" s="544" t="s">
        <v>180</v>
      </c>
      <c r="AG353" s="212" t="s">
        <v>204</v>
      </c>
      <c r="AH353" s="544" t="s">
        <v>204</v>
      </c>
      <c r="AI353" s="211" t="s">
        <v>204</v>
      </c>
      <c r="AJ353" s="1482"/>
      <c r="AL353" s="1504"/>
      <c r="AM353" s="1488"/>
      <c r="AN353" s="204"/>
      <c r="AO353" s="1501"/>
      <c r="AP353" s="1488"/>
      <c r="AQ353" s="204"/>
      <c r="AR353" s="1488"/>
      <c r="AS353" s="1488"/>
      <c r="AT353" s="204"/>
      <c r="AU353" s="1488"/>
      <c r="AV353" s="1488"/>
      <c r="AW353" s="202"/>
      <c r="AX353" s="1507"/>
      <c r="AZ353" s="1504"/>
      <c r="BA353" s="1488"/>
      <c r="BB353" s="204"/>
      <c r="BC353" s="1501"/>
      <c r="BD353" s="1488"/>
      <c r="BE353" s="204"/>
      <c r="BF353" s="1488"/>
      <c r="BG353" s="1488"/>
      <c r="BH353" s="204"/>
      <c r="BI353" s="1488"/>
      <c r="BJ353" s="1488"/>
      <c r="BK353" s="202"/>
      <c r="BL353" s="1507"/>
      <c r="BN353" s="1504"/>
      <c r="BO353" s="1488"/>
      <c r="BP353" s="204"/>
      <c r="BQ353" s="1501"/>
      <c r="BR353" s="1488"/>
      <c r="BS353" s="204"/>
      <c r="BT353" s="1488"/>
      <c r="BU353" s="1488"/>
      <c r="BV353" s="204"/>
      <c r="BW353" s="1488"/>
      <c r="BX353" s="1488"/>
      <c r="BY353" s="202"/>
      <c r="BZ353" s="1507"/>
      <c r="CB353" s="1504"/>
      <c r="CC353" s="1488"/>
      <c r="CD353" s="204"/>
      <c r="CE353" s="1501"/>
      <c r="CF353" s="1488"/>
      <c r="CG353" s="204"/>
      <c r="CH353" s="1488"/>
      <c r="CI353" s="1488"/>
      <c r="CJ353" s="204"/>
      <c r="CK353" s="1488"/>
      <c r="CL353" s="1488"/>
      <c r="CM353" s="202"/>
      <c r="CN353" s="1507"/>
    </row>
    <row r="354" spans="2:92" ht="57" customHeight="1" x14ac:dyDescent="0.2">
      <c r="B354" s="1469"/>
      <c r="C354" s="1471"/>
      <c r="D354" s="1437"/>
      <c r="E354" s="1462"/>
      <c r="F354" s="1443"/>
      <c r="G354" s="308" t="str">
        <f>+'Plan de Accion apoyo transversa'!X117</f>
        <v>Jornada de salud sobre: Prevención del cáncer realizada</v>
      </c>
      <c r="H354" s="224" t="str">
        <f>+'Plan de Accion apoyo transversa'!AK117</f>
        <v># Actividades de bienestar realizadas</v>
      </c>
      <c r="J354" s="218">
        <f>+'Plan de Accion apoyo transversa'!AT117</f>
        <v>0</v>
      </c>
      <c r="K354" s="476" t="str">
        <f>+'Plan de Accion apoyo transversa'!CE117</f>
        <v>No Prog ni Ejec</v>
      </c>
      <c r="L354" s="476" t="s">
        <v>204</v>
      </c>
      <c r="M354" s="476">
        <f>+'Plan de Accion apoyo transversa'!AX117</f>
        <v>0</v>
      </c>
      <c r="N354" s="476">
        <f t="shared" si="306"/>
        <v>0</v>
      </c>
      <c r="O354" s="478" t="s">
        <v>204</v>
      </c>
      <c r="P354" s="213"/>
      <c r="Q354" s="218" t="s">
        <v>204</v>
      </c>
      <c r="R354" s="544" t="s">
        <v>180</v>
      </c>
      <c r="S354" s="248" t="s">
        <v>204</v>
      </c>
      <c r="T354" s="544" t="s">
        <v>204</v>
      </c>
      <c r="U354" s="544" t="s">
        <v>204</v>
      </c>
      <c r="V354" s="211" t="str">
        <f>+U354</f>
        <v>N.A</v>
      </c>
      <c r="W354" s="213"/>
      <c r="X354" s="218" t="s">
        <v>204</v>
      </c>
      <c r="Y354" s="544" t="str">
        <f>+'Plan de Accion apoyo transversa'!CI117</f>
        <v>No Prog ni Ejec</v>
      </c>
      <c r="Z354" s="212" t="s">
        <v>204</v>
      </c>
      <c r="AA354" s="217" t="s">
        <v>204</v>
      </c>
      <c r="AB354" s="217" t="s">
        <v>204</v>
      </c>
      <c r="AC354" s="216" t="str">
        <f t="shared" ref="AC354:AC355" si="325">+AB354</f>
        <v>N.A</v>
      </c>
      <c r="AD354" s="213"/>
      <c r="AE354" s="218" t="s">
        <v>204</v>
      </c>
      <c r="AF354" s="544" t="s">
        <v>180</v>
      </c>
      <c r="AG354" s="212" t="s">
        <v>204</v>
      </c>
      <c r="AH354" s="544" t="s">
        <v>204</v>
      </c>
      <c r="AI354" s="211" t="s">
        <v>204</v>
      </c>
      <c r="AJ354" s="1482"/>
      <c r="AL354" s="1504"/>
      <c r="AM354" s="1488"/>
      <c r="AN354" s="204"/>
      <c r="AO354" s="1501"/>
      <c r="AP354" s="1488"/>
      <c r="AQ354" s="204"/>
      <c r="AR354" s="1488"/>
      <c r="AS354" s="1488"/>
      <c r="AT354" s="204"/>
      <c r="AU354" s="1488"/>
      <c r="AV354" s="1488"/>
      <c r="AW354" s="202"/>
      <c r="AX354" s="1507"/>
      <c r="AZ354" s="1504"/>
      <c r="BA354" s="1488"/>
      <c r="BB354" s="204"/>
      <c r="BC354" s="1501"/>
      <c r="BD354" s="1488"/>
      <c r="BE354" s="204"/>
      <c r="BF354" s="1488"/>
      <c r="BG354" s="1488"/>
      <c r="BH354" s="204"/>
      <c r="BI354" s="1488"/>
      <c r="BJ354" s="1488"/>
      <c r="BK354" s="202"/>
      <c r="BL354" s="1507"/>
      <c r="BN354" s="1504"/>
      <c r="BO354" s="1488"/>
      <c r="BP354" s="204"/>
      <c r="BQ354" s="1501"/>
      <c r="BR354" s="1488"/>
      <c r="BS354" s="204"/>
      <c r="BT354" s="1488"/>
      <c r="BU354" s="1488"/>
      <c r="BV354" s="204"/>
      <c r="BW354" s="1488"/>
      <c r="BX354" s="1488"/>
      <c r="BY354" s="202"/>
      <c r="BZ354" s="1507"/>
      <c r="CB354" s="1504"/>
      <c r="CC354" s="1488"/>
      <c r="CD354" s="204"/>
      <c r="CE354" s="1501"/>
      <c r="CF354" s="1488"/>
      <c r="CG354" s="204"/>
      <c r="CH354" s="1488"/>
      <c r="CI354" s="1488"/>
      <c r="CJ354" s="204"/>
      <c r="CK354" s="1488"/>
      <c r="CL354" s="1488"/>
      <c r="CM354" s="202"/>
      <c r="CN354" s="1507"/>
    </row>
    <row r="355" spans="2:92" ht="96" customHeight="1" x14ac:dyDescent="0.2">
      <c r="B355" s="1470"/>
      <c r="C355" s="1471"/>
      <c r="D355" s="1437"/>
      <c r="E355" s="1462"/>
      <c r="F355" s="646" t="s">
        <v>1747</v>
      </c>
      <c r="G355" s="661" t="str">
        <f>+'Plan de Accion apoyo transversa'!X188</f>
        <v>Jornada de divulgación del Plan de Emergencias realizada</v>
      </c>
      <c r="H355" s="224" t="str">
        <f>+'Plan de Accion apoyo transversa'!AK188</f>
        <v># de actividades realizadas</v>
      </c>
      <c r="J355" s="218">
        <f>+'Plan de Accion apoyo transversa'!AT188</f>
        <v>0</v>
      </c>
      <c r="K355" s="650" t="str">
        <f>+'Plan de Accion apoyo transversa'!CE188</f>
        <v>No Prog ni Ejec</v>
      </c>
      <c r="L355" s="650" t="s">
        <v>204</v>
      </c>
      <c r="M355" s="650">
        <f>+'Plan de Accion apoyo transversa'!AX188</f>
        <v>0</v>
      </c>
      <c r="N355" s="650">
        <f>IF(M355&gt;100%,100%,M355)</f>
        <v>0</v>
      </c>
      <c r="O355" s="651" t="s">
        <v>204</v>
      </c>
      <c r="P355" s="213"/>
      <c r="Q355" s="218">
        <f>+'Plan de Accion apoyo transversa'!BD188</f>
        <v>0</v>
      </c>
      <c r="R355" s="650" t="str">
        <f>+'Plan de Accion apoyo transversa'!CG188</f>
        <v>No Prog ni Ejec</v>
      </c>
      <c r="S355" s="248" t="s">
        <v>204</v>
      </c>
      <c r="T355" s="650">
        <f>+'Plan de Accion apoyo transversa'!BH188</f>
        <v>0</v>
      </c>
      <c r="U355" s="650">
        <f t="shared" ref="U355" si="326">IF(T355&gt;100%,100%,T355)</f>
        <v>0</v>
      </c>
      <c r="V355" s="211" t="s">
        <v>204</v>
      </c>
      <c r="W355" s="213"/>
      <c r="X355" s="218">
        <f>+'Plan de Accion apoyo transversa'!BN188</f>
        <v>0</v>
      </c>
      <c r="Y355" s="650">
        <f>+'Plan de Accion apoyo transversa'!CI188</f>
        <v>0</v>
      </c>
      <c r="Z355" s="212">
        <f>IF(Y355&gt;100%,100%,Y355)</f>
        <v>0</v>
      </c>
      <c r="AA355" s="217">
        <f>+'Plan de Accion apoyo transversa'!BR188</f>
        <v>0</v>
      </c>
      <c r="AB355" s="217">
        <f t="shared" ref="AB355" si="327">IF(AA355&gt;100%,100%,AA355)</f>
        <v>0</v>
      </c>
      <c r="AC355" s="216">
        <f t="shared" si="325"/>
        <v>0</v>
      </c>
      <c r="AD355" s="213"/>
      <c r="AE355" s="218">
        <f>+'Plan de Accion apoyo transversa'!BX123</f>
        <v>0</v>
      </c>
      <c r="AF355" s="650" t="str">
        <f>+'Plan de Accion apoyo transversa'!CK188</f>
        <v>No Prog, Ejec=  1</v>
      </c>
      <c r="AG355" s="212">
        <f t="shared" ref="AG355:AG363" si="328">IF(AF355&gt;100%,100%,AF355)</f>
        <v>1</v>
      </c>
      <c r="AH355" s="650">
        <f>+'Plan de Accion apoyo transversa'!CB188</f>
        <v>1</v>
      </c>
      <c r="AI355" s="211">
        <f t="shared" ref="AI355" si="329">IF(AH355&gt;100%,100%,AH355)</f>
        <v>1</v>
      </c>
      <c r="AJ355" s="655"/>
      <c r="AL355" s="659"/>
      <c r="AM355" s="656"/>
      <c r="AN355" s="204"/>
      <c r="AO355" s="657"/>
      <c r="AP355" s="656"/>
      <c r="AQ355" s="204"/>
      <c r="AR355" s="656"/>
      <c r="AS355" s="656"/>
      <c r="AT355" s="204"/>
      <c r="AU355" s="656"/>
      <c r="AV355" s="656"/>
      <c r="AW355" s="202"/>
      <c r="AX355" s="660"/>
      <c r="AZ355" s="659"/>
      <c r="BA355" s="656"/>
      <c r="BB355" s="204"/>
      <c r="BC355" s="657"/>
      <c r="BD355" s="656"/>
      <c r="BE355" s="204"/>
      <c r="BF355" s="656"/>
      <c r="BG355" s="656"/>
      <c r="BH355" s="204"/>
      <c r="BI355" s="656"/>
      <c r="BJ355" s="656"/>
      <c r="BK355" s="202"/>
      <c r="BL355" s="660"/>
      <c r="BN355" s="659"/>
      <c r="BO355" s="656"/>
      <c r="BP355" s="204"/>
      <c r="BQ355" s="657"/>
      <c r="BR355" s="656"/>
      <c r="BS355" s="204"/>
      <c r="BT355" s="656"/>
      <c r="BU355" s="656"/>
      <c r="BV355" s="204"/>
      <c r="BW355" s="656"/>
      <c r="BX355" s="656"/>
      <c r="BY355" s="202"/>
      <c r="BZ355" s="660"/>
      <c r="CB355" s="659"/>
      <c r="CC355" s="656"/>
      <c r="CD355" s="204"/>
      <c r="CE355" s="657"/>
      <c r="CF355" s="656"/>
      <c r="CG355" s="204"/>
      <c r="CH355" s="656"/>
      <c r="CI355" s="656"/>
      <c r="CJ355" s="204"/>
      <c r="CK355" s="656"/>
      <c r="CL355" s="656"/>
      <c r="CM355" s="202"/>
      <c r="CN355" s="660"/>
    </row>
    <row r="356" spans="2:92" ht="69.75" customHeight="1" x14ac:dyDescent="0.2">
      <c r="B356" s="1470"/>
      <c r="C356" s="1471"/>
      <c r="D356" s="1438"/>
      <c r="E356" s="1472"/>
      <c r="F356" s="300" t="s">
        <v>336</v>
      </c>
      <c r="G356" s="308" t="str">
        <f>+'Plan de Accion apoyo transversa'!X124</f>
        <v>Información difundida a los funcionarios sobre servicio al ciudadano, tramites, servicios y OPAS de la entidad.</v>
      </c>
      <c r="H356" s="224"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6" s="218">
        <f>+'Plan de Accion apoyo transversa'!AT124</f>
        <v>25</v>
      </c>
      <c r="K356" s="476">
        <f>+'Plan de Accion apoyo transversa'!CE124</f>
        <v>1</v>
      </c>
      <c r="L356" s="476">
        <f>IF(K356&gt;100%,100%,K356)</f>
        <v>1</v>
      </c>
      <c r="M356" s="476">
        <f>+'Plan de Accion apoyo transversa'!AX124</f>
        <v>0.58139534883720934</v>
      </c>
      <c r="N356" s="476">
        <f t="shared" si="306"/>
        <v>0.58139534883720934</v>
      </c>
      <c r="O356" s="478">
        <f>+N356</f>
        <v>0.58139534883720934</v>
      </c>
      <c r="P356" s="213"/>
      <c r="Q356" s="218">
        <f>+'Plan de Accion apoyo transversa'!BD124</f>
        <v>6</v>
      </c>
      <c r="R356" s="304">
        <f>+'Plan de Accion apoyo transversa'!CG124</f>
        <v>1</v>
      </c>
      <c r="S356" s="248">
        <f t="shared" ref="S356:S363" si="330">IF(R356&gt;100%,100%,R356)</f>
        <v>1</v>
      </c>
      <c r="T356" s="304">
        <f>+'Plan de Accion apoyo transversa'!BH124</f>
        <v>0.72093023255813948</v>
      </c>
      <c r="U356" s="304">
        <f t="shared" ref="U356:U363" si="331">IF(T356&gt;100%,100%,T356)</f>
        <v>0.72093023255813948</v>
      </c>
      <c r="V356" s="211">
        <f t="shared" ref="V356:V363" si="332">+U356</f>
        <v>0.72093023255813948</v>
      </c>
      <c r="W356" s="213"/>
      <c r="X356" s="218">
        <f>+'Plan de Accion apoyo transversa'!BN124</f>
        <v>6</v>
      </c>
      <c r="Y356" s="304">
        <f>+'Plan de Accion apoyo transversa'!CI124</f>
        <v>1</v>
      </c>
      <c r="Z356" s="212">
        <f>IF(Y356&gt;100%,100%,Y356)</f>
        <v>1</v>
      </c>
      <c r="AA356" s="217">
        <f>+'Plan de Accion apoyo transversa'!BR124</f>
        <v>0.86046511627906974</v>
      </c>
      <c r="AB356" s="217">
        <f t="shared" ref="AB356:AB363" si="333">IF(AA356&gt;100%,100%,AA356)</f>
        <v>0.86046511627906974</v>
      </c>
      <c r="AC356" s="216">
        <f t="shared" si="319"/>
        <v>0.86046511627906974</v>
      </c>
      <c r="AD356" s="213"/>
      <c r="AE356" s="218">
        <f>+'Plan de Accion apoyo transversa'!BX124</f>
        <v>6</v>
      </c>
      <c r="AF356" s="304">
        <f>+'Plan de Accion apoyo transversa'!CK124</f>
        <v>1</v>
      </c>
      <c r="AG356" s="212">
        <f t="shared" si="328"/>
        <v>1</v>
      </c>
      <c r="AH356" s="304">
        <f>+'Plan de Accion apoyo transversa'!CB124</f>
        <v>1</v>
      </c>
      <c r="AI356" s="211">
        <f t="shared" ref="AI356:AI363" si="334">IF(AH356&gt;100%,100%,AH356)</f>
        <v>1</v>
      </c>
      <c r="AJ356" s="210"/>
      <c r="AL356" s="209"/>
      <c r="AM356" s="207"/>
      <c r="AN356" s="204"/>
      <c r="AO356" s="208"/>
      <c r="AP356" s="207"/>
      <c r="AQ356" s="204"/>
      <c r="AR356" s="207"/>
      <c r="AS356" s="207"/>
      <c r="AT356" s="204"/>
      <c r="AU356" s="207"/>
      <c r="AV356" s="207"/>
      <c r="AW356" s="202"/>
      <c r="AX356" s="206"/>
      <c r="AZ356" s="209"/>
      <c r="BA356" s="207"/>
      <c r="BB356" s="204"/>
      <c r="BC356" s="208"/>
      <c r="BD356" s="207"/>
      <c r="BE356" s="204"/>
      <c r="BF356" s="207"/>
      <c r="BG356" s="207"/>
      <c r="BH356" s="204"/>
      <c r="BI356" s="207"/>
      <c r="BJ356" s="207"/>
      <c r="BK356" s="202"/>
      <c r="BL356" s="206"/>
      <c r="BN356" s="209"/>
      <c r="BO356" s="207"/>
      <c r="BP356" s="204"/>
      <c r="BQ356" s="208"/>
      <c r="BR356" s="207"/>
      <c r="BS356" s="204"/>
      <c r="BT356" s="207"/>
      <c r="BU356" s="207"/>
      <c r="BV356" s="204"/>
      <c r="BW356" s="207"/>
      <c r="BX356" s="207"/>
      <c r="BY356" s="202"/>
      <c r="BZ356" s="206"/>
      <c r="CB356" s="209"/>
      <c r="CC356" s="207"/>
      <c r="CD356" s="204"/>
      <c r="CE356" s="208"/>
      <c r="CF356" s="207"/>
      <c r="CG356" s="204"/>
      <c r="CH356" s="207"/>
      <c r="CI356" s="207"/>
      <c r="CJ356" s="204"/>
      <c r="CK356" s="207"/>
      <c r="CL356" s="207"/>
      <c r="CM356" s="202"/>
      <c r="CN356" s="206"/>
    </row>
    <row r="357" spans="2:92" ht="93.75" customHeight="1" x14ac:dyDescent="0.2">
      <c r="B357" s="1470"/>
      <c r="C357" s="1471"/>
      <c r="D357" s="1436" t="s">
        <v>204</v>
      </c>
      <c r="E357" s="1436" t="s">
        <v>230</v>
      </c>
      <c r="F357" s="300" t="s">
        <v>1183</v>
      </c>
      <c r="G357" s="308" t="str">
        <f>+'Plan de Accion apoyo transversa'!X145</f>
        <v>Procedimiento para la gestión y publicación de datos abiertos definido y aprobado</v>
      </c>
      <c r="H357" s="224" t="str">
        <f>+'Plan de Accion apoyo transversa'!AK145</f>
        <v># Procedimientos definidos y aprobados por la DGTIC</v>
      </c>
      <c r="J357" s="218">
        <f>+'Plan de Accion apoyo transversa'!AT145</f>
        <v>0</v>
      </c>
      <c r="K357" s="476" t="str">
        <f>+'Plan de Accion apoyo transversa'!CE145</f>
        <v>No Prog ni Ejec</v>
      </c>
      <c r="L357" s="476" t="s">
        <v>204</v>
      </c>
      <c r="M357" s="476">
        <f>+'Plan de Accion apoyo transversa'!AX145</f>
        <v>0</v>
      </c>
      <c r="N357" s="476">
        <f t="shared" si="306"/>
        <v>0</v>
      </c>
      <c r="O357" s="478" t="s">
        <v>204</v>
      </c>
      <c r="P357" s="213"/>
      <c r="Q357" s="218">
        <f>+'Plan de Accion apoyo transversa'!BD145</f>
        <v>0</v>
      </c>
      <c r="R357" s="304" t="str">
        <f>+'Plan de Accion apoyo transversa'!CG145</f>
        <v>No Prog ni Ejec</v>
      </c>
      <c r="S357" s="248" t="s">
        <v>204</v>
      </c>
      <c r="T357" s="304">
        <f>+'Plan de Accion apoyo transversa'!BH145</f>
        <v>0</v>
      </c>
      <c r="U357" s="304">
        <f t="shared" si="331"/>
        <v>0</v>
      </c>
      <c r="V357" s="211" t="s">
        <v>204</v>
      </c>
      <c r="W357" s="213"/>
      <c r="X357" s="218">
        <f>+'Plan de Accion apoyo transversa'!BN145</f>
        <v>0</v>
      </c>
      <c r="Y357" s="304" t="str">
        <f>+'Plan de Accion apoyo transversa'!CI145</f>
        <v>No Prog ni Ejec</v>
      </c>
      <c r="Z357" s="212" t="s">
        <v>204</v>
      </c>
      <c r="AA357" s="217">
        <f>+'Plan de Accion apoyo transversa'!BR145</f>
        <v>0</v>
      </c>
      <c r="AB357" s="217">
        <f t="shared" si="333"/>
        <v>0</v>
      </c>
      <c r="AC357" s="216" t="s">
        <v>204</v>
      </c>
      <c r="AD357" s="213"/>
      <c r="AE357" s="218">
        <f>+'Plan de Accion apoyo transversa'!BX145</f>
        <v>1</v>
      </c>
      <c r="AF357" s="304">
        <f>+'Plan de Accion apoyo transversa'!CK145</f>
        <v>1</v>
      </c>
      <c r="AG357" s="212">
        <f t="shared" si="328"/>
        <v>1</v>
      </c>
      <c r="AH357" s="304">
        <f>+'Plan de Accion apoyo transversa'!CB145</f>
        <v>1</v>
      </c>
      <c r="AI357" s="211">
        <f t="shared" si="334"/>
        <v>1</v>
      </c>
      <c r="AJ357" s="314"/>
      <c r="AL357" s="313"/>
      <c r="AM357" s="309"/>
      <c r="AN357" s="204"/>
      <c r="AO357" s="310"/>
      <c r="AP357" s="309"/>
      <c r="AQ357" s="204"/>
      <c r="AR357" s="309"/>
      <c r="AS357" s="309"/>
      <c r="AT357" s="204"/>
      <c r="AU357" s="309"/>
      <c r="AV357" s="309"/>
      <c r="AW357" s="202"/>
      <c r="AX357" s="312"/>
      <c r="AZ357" s="313"/>
      <c r="BA357" s="309"/>
      <c r="BB357" s="204"/>
      <c r="BC357" s="310"/>
      <c r="BD357" s="309"/>
      <c r="BE357" s="204"/>
      <c r="BF357" s="309"/>
      <c r="BG357" s="309"/>
      <c r="BH357" s="204"/>
      <c r="BI357" s="309"/>
      <c r="BJ357" s="309"/>
      <c r="BK357" s="202"/>
      <c r="BL357" s="312"/>
      <c r="BN357" s="313"/>
      <c r="BO357" s="309"/>
      <c r="BP357" s="204"/>
      <c r="BQ357" s="310"/>
      <c r="BR357" s="309"/>
      <c r="BS357" s="204"/>
      <c r="BT357" s="309"/>
      <c r="BU357" s="309"/>
      <c r="BV357" s="204"/>
      <c r="BW357" s="309"/>
      <c r="BX357" s="309"/>
      <c r="BY357" s="202"/>
      <c r="BZ357" s="312"/>
      <c r="CB357" s="313"/>
      <c r="CC357" s="309"/>
      <c r="CD357" s="204"/>
      <c r="CE357" s="310"/>
      <c r="CF357" s="309"/>
      <c r="CG357" s="204"/>
      <c r="CH357" s="309"/>
      <c r="CI357" s="309"/>
      <c r="CJ357" s="204"/>
      <c r="CK357" s="309"/>
      <c r="CL357" s="309"/>
      <c r="CM357" s="202"/>
      <c r="CN357" s="312"/>
    </row>
    <row r="358" spans="2:92" ht="68.25" customHeight="1" x14ac:dyDescent="0.2">
      <c r="B358" s="1470"/>
      <c r="C358" s="1471"/>
      <c r="D358" s="1437"/>
      <c r="E358" s="1437"/>
      <c r="F358" s="1442" t="s">
        <v>1184</v>
      </c>
      <c r="G358" s="308" t="str">
        <f>+'Plan de Accion apoyo transversa'!X150</f>
        <v>Campaña de sensibilización en Seguridad y Privacidad de la Información</v>
      </c>
      <c r="H358" s="224" t="str">
        <f>+'Plan de Accion apoyo transversa'!AK150</f>
        <v xml:space="preserve"># Campañas de sensibilización en Seguridad y Privacidad de la Información </v>
      </c>
      <c r="J358" s="218">
        <f>+'Plan de Accion apoyo transversa'!AT150</f>
        <v>1</v>
      </c>
      <c r="K358" s="476">
        <f>+'Plan de Accion apoyo transversa'!CE150</f>
        <v>1</v>
      </c>
      <c r="L358" s="476">
        <f>IF(K358&gt;100%,100%,K358)</f>
        <v>1</v>
      </c>
      <c r="M358" s="476">
        <f>+'Plan de Accion apoyo transversa'!AX150</f>
        <v>0.25</v>
      </c>
      <c r="N358" s="476">
        <f t="shared" si="306"/>
        <v>0.25</v>
      </c>
      <c r="O358" s="478">
        <f>+N358</f>
        <v>0.25</v>
      </c>
      <c r="P358" s="213"/>
      <c r="Q358" s="218">
        <f>+'Plan de Accion apoyo transversa'!BD150</f>
        <v>1</v>
      </c>
      <c r="R358" s="304">
        <f>+'Plan de Accion apoyo transversa'!CG150</f>
        <v>1</v>
      </c>
      <c r="S358" s="248">
        <f t="shared" si="330"/>
        <v>1</v>
      </c>
      <c r="T358" s="304">
        <f>+'Plan de Accion apoyo transversa'!BH150</f>
        <v>0.5</v>
      </c>
      <c r="U358" s="304">
        <f t="shared" si="331"/>
        <v>0.5</v>
      </c>
      <c r="V358" s="211">
        <f t="shared" si="332"/>
        <v>0.5</v>
      </c>
      <c r="W358" s="213"/>
      <c r="X358" s="218">
        <f>+'Plan de Accion apoyo transversa'!BN150</f>
        <v>1</v>
      </c>
      <c r="Y358" s="304">
        <f>+'Plan de Accion apoyo transversa'!CI150</f>
        <v>1</v>
      </c>
      <c r="Z358" s="212">
        <f>IF(Y358&gt;100%,100%,Y358)</f>
        <v>1</v>
      </c>
      <c r="AA358" s="217">
        <f>+'Plan de Accion apoyo transversa'!BR150</f>
        <v>0.75</v>
      </c>
      <c r="AB358" s="217">
        <f t="shared" si="333"/>
        <v>0.75</v>
      </c>
      <c r="AC358" s="216">
        <f t="shared" ref="AC358:AC363" si="335">+AB358</f>
        <v>0.75</v>
      </c>
      <c r="AD358" s="213"/>
      <c r="AE358" s="218">
        <f>+'Plan de Accion apoyo transversa'!BX150</f>
        <v>1</v>
      </c>
      <c r="AF358" s="304">
        <f>+'Plan de Accion apoyo transversa'!CK150</f>
        <v>1</v>
      </c>
      <c r="AG358" s="212">
        <f t="shared" si="328"/>
        <v>1</v>
      </c>
      <c r="AH358" s="304">
        <f>+'Plan de Accion apoyo transversa'!CB150</f>
        <v>1</v>
      </c>
      <c r="AI358" s="211">
        <f t="shared" si="334"/>
        <v>1</v>
      </c>
      <c r="AJ358" s="314"/>
      <c r="AL358" s="313"/>
      <c r="AM358" s="309"/>
      <c r="AN358" s="204"/>
      <c r="AO358" s="310"/>
      <c r="AP358" s="309"/>
      <c r="AQ358" s="204"/>
      <c r="AR358" s="309"/>
      <c r="AS358" s="309"/>
      <c r="AT358" s="204"/>
      <c r="AU358" s="309"/>
      <c r="AV358" s="309"/>
      <c r="AW358" s="202"/>
      <c r="AX358" s="312"/>
      <c r="AZ358" s="313"/>
      <c r="BA358" s="309"/>
      <c r="BB358" s="204"/>
      <c r="BC358" s="310"/>
      <c r="BD358" s="309"/>
      <c r="BE358" s="204"/>
      <c r="BF358" s="309"/>
      <c r="BG358" s="309"/>
      <c r="BH358" s="204"/>
      <c r="BI358" s="309"/>
      <c r="BJ358" s="309"/>
      <c r="BK358" s="202"/>
      <c r="BL358" s="312"/>
      <c r="BN358" s="313"/>
      <c r="BO358" s="309"/>
      <c r="BP358" s="204"/>
      <c r="BQ358" s="310"/>
      <c r="BR358" s="309"/>
      <c r="BS358" s="204"/>
      <c r="BT358" s="309"/>
      <c r="BU358" s="309"/>
      <c r="BV358" s="204"/>
      <c r="BW358" s="309"/>
      <c r="BX358" s="309"/>
      <c r="BY358" s="202"/>
      <c r="BZ358" s="312"/>
      <c r="CB358" s="313"/>
      <c r="CC358" s="309"/>
      <c r="CD358" s="204"/>
      <c r="CE358" s="310"/>
      <c r="CF358" s="309"/>
      <c r="CG358" s="204"/>
      <c r="CH358" s="309"/>
      <c r="CI358" s="309"/>
      <c r="CJ358" s="204"/>
      <c r="CK358" s="309"/>
      <c r="CL358" s="309"/>
      <c r="CM358" s="202"/>
      <c r="CN358" s="312"/>
    </row>
    <row r="359" spans="2:92" ht="69.75" customHeight="1" x14ac:dyDescent="0.2">
      <c r="B359" s="1470"/>
      <c r="C359" s="1471"/>
      <c r="D359" s="1437"/>
      <c r="E359" s="1438"/>
      <c r="F359" s="1444"/>
      <c r="G359" s="308" t="str">
        <f>+'Plan de Accion apoyo transversa'!X151</f>
        <v>Jornadas de capacitación frente a temas de Seguridad y Privacidad de la Información</v>
      </c>
      <c r="H359" s="224" t="str">
        <f>+'Plan de Accion apoyo transversa'!AK151</f>
        <v xml:space="preserve"># Jornadas de Capacitación en Seguridad y Privacidad de la Información para Servidores Públicos y Contratistas </v>
      </c>
      <c r="J359" s="218">
        <f>+'Plan de Accion apoyo transversa'!AT151</f>
        <v>0</v>
      </c>
      <c r="K359" s="476" t="str">
        <f>+'Plan de Accion apoyo transversa'!CE151</f>
        <v>No Prog ni Ejec</v>
      </c>
      <c r="L359" s="476" t="s">
        <v>204</v>
      </c>
      <c r="M359" s="476">
        <f>+'Plan de Accion apoyo transversa'!AX151</f>
        <v>0</v>
      </c>
      <c r="N359" s="476">
        <f t="shared" si="306"/>
        <v>0</v>
      </c>
      <c r="O359" s="478" t="s">
        <v>204</v>
      </c>
      <c r="P359" s="213"/>
      <c r="Q359" s="218">
        <f>+'Plan de Accion apoyo transversa'!BD151</f>
        <v>1</v>
      </c>
      <c r="R359" s="304">
        <f>+'Plan de Accion apoyo transversa'!CG151</f>
        <v>1</v>
      </c>
      <c r="S359" s="248">
        <f t="shared" si="330"/>
        <v>1</v>
      </c>
      <c r="T359" s="304">
        <f>+'Plan de Accion apoyo transversa'!BH151</f>
        <v>0.5</v>
      </c>
      <c r="U359" s="304">
        <f t="shared" si="331"/>
        <v>0.5</v>
      </c>
      <c r="V359" s="211">
        <f t="shared" si="332"/>
        <v>0.5</v>
      </c>
      <c r="W359" s="213"/>
      <c r="X359" s="218">
        <f>+'Plan de Accion apoyo transversa'!BN151</f>
        <v>0</v>
      </c>
      <c r="Y359" s="304" t="str">
        <f>+'Plan de Accion apoyo transversa'!CI151</f>
        <v>No Prog ni Ejec</v>
      </c>
      <c r="Z359" s="212" t="s">
        <v>204</v>
      </c>
      <c r="AA359" s="217">
        <f>+'Plan de Accion apoyo transversa'!BR151</f>
        <v>0.5</v>
      </c>
      <c r="AB359" s="217">
        <f t="shared" si="333"/>
        <v>0.5</v>
      </c>
      <c r="AC359" s="216">
        <f t="shared" si="335"/>
        <v>0.5</v>
      </c>
      <c r="AD359" s="213"/>
      <c r="AE359" s="218">
        <f>+'Plan de Accion apoyo transversa'!BX151</f>
        <v>1</v>
      </c>
      <c r="AF359" s="304">
        <f>+'Plan de Accion apoyo transversa'!CK151</f>
        <v>1</v>
      </c>
      <c r="AG359" s="212">
        <f t="shared" si="328"/>
        <v>1</v>
      </c>
      <c r="AH359" s="304">
        <f>+'Plan de Accion apoyo transversa'!CB151</f>
        <v>1</v>
      </c>
      <c r="AI359" s="211">
        <f t="shared" si="334"/>
        <v>1</v>
      </c>
      <c r="AJ359" s="314"/>
      <c r="AL359" s="313"/>
      <c r="AM359" s="309"/>
      <c r="AN359" s="204"/>
      <c r="AO359" s="310"/>
      <c r="AP359" s="309"/>
      <c r="AQ359" s="204"/>
      <c r="AR359" s="309"/>
      <c r="AS359" s="309"/>
      <c r="AT359" s="204"/>
      <c r="AU359" s="309"/>
      <c r="AV359" s="309"/>
      <c r="AW359" s="202"/>
      <c r="AX359" s="312"/>
      <c r="AZ359" s="313"/>
      <c r="BA359" s="309"/>
      <c r="BB359" s="204"/>
      <c r="BC359" s="310"/>
      <c r="BD359" s="309"/>
      <c r="BE359" s="204"/>
      <c r="BF359" s="309"/>
      <c r="BG359" s="309"/>
      <c r="BH359" s="204"/>
      <c r="BI359" s="309"/>
      <c r="BJ359" s="309"/>
      <c r="BK359" s="202"/>
      <c r="BL359" s="312"/>
      <c r="BN359" s="313"/>
      <c r="BO359" s="309"/>
      <c r="BP359" s="204"/>
      <c r="BQ359" s="310"/>
      <c r="BR359" s="309"/>
      <c r="BS359" s="204"/>
      <c r="BT359" s="309"/>
      <c r="BU359" s="309"/>
      <c r="BV359" s="204"/>
      <c r="BW359" s="309"/>
      <c r="BX359" s="309"/>
      <c r="BY359" s="202"/>
      <c r="BZ359" s="312"/>
      <c r="CB359" s="313"/>
      <c r="CC359" s="309"/>
      <c r="CD359" s="204"/>
      <c r="CE359" s="310"/>
      <c r="CF359" s="309"/>
      <c r="CG359" s="204"/>
      <c r="CH359" s="309"/>
      <c r="CI359" s="309"/>
      <c r="CJ359" s="204"/>
      <c r="CK359" s="309"/>
      <c r="CL359" s="309"/>
      <c r="CM359" s="202"/>
      <c r="CN359" s="312"/>
    </row>
    <row r="360" spans="2:92" ht="69.75" customHeight="1" x14ac:dyDescent="0.2">
      <c r="B360" s="1470"/>
      <c r="C360" s="1471"/>
      <c r="D360" s="1438"/>
      <c r="E360" s="788" t="s">
        <v>1</v>
      </c>
      <c r="F360" s="513" t="s">
        <v>1183</v>
      </c>
      <c r="G360" s="514" t="str">
        <f>+'Plan de Accion apoyo transversa'!X145</f>
        <v>Procedimiento para la gestión y publicación de datos abiertos definido y aprobado</v>
      </c>
      <c r="H360" s="224" t="str">
        <f>+'Plan de Accion apoyo transversa'!AK145</f>
        <v># Procedimientos definidos y aprobados por la DGTIC</v>
      </c>
      <c r="J360" s="218">
        <f>+'Plan de Accion apoyo transversa'!AT145</f>
        <v>0</v>
      </c>
      <c r="K360" s="515" t="str">
        <f>+'Plan de Accion apoyo transversa'!CE145</f>
        <v>No Prog ni Ejec</v>
      </c>
      <c r="L360" s="515" t="s">
        <v>204</v>
      </c>
      <c r="M360" s="515">
        <f>+'Plan de Accion apoyo transversa'!AX145</f>
        <v>0</v>
      </c>
      <c r="N360" s="515">
        <f>IF(M360&gt;100%,100%,M360)</f>
        <v>0</v>
      </c>
      <c r="O360" s="516" t="s">
        <v>204</v>
      </c>
      <c r="P360" s="213"/>
      <c r="Q360" s="218">
        <f>+'Plan de Accion apoyo transversa'!BD145</f>
        <v>0</v>
      </c>
      <c r="R360" s="515" t="str">
        <f>+'Plan de Accion apoyo transversa'!CG145</f>
        <v>No Prog ni Ejec</v>
      </c>
      <c r="S360" s="248" t="s">
        <v>204</v>
      </c>
      <c r="T360" s="515">
        <f>+'Plan de Accion apoyo transversa'!BH145</f>
        <v>0</v>
      </c>
      <c r="U360" s="515">
        <f t="shared" si="331"/>
        <v>0</v>
      </c>
      <c r="V360" s="211" t="s">
        <v>204</v>
      </c>
      <c r="W360" s="213"/>
      <c r="X360" s="218">
        <f>+'Plan de Accion apoyo transversa'!BN145</f>
        <v>0</v>
      </c>
      <c r="Y360" s="515" t="str">
        <f>+'Plan de Accion apoyo transversa'!CI145</f>
        <v>No Prog ni Ejec</v>
      </c>
      <c r="Z360" s="212" t="s">
        <v>204</v>
      </c>
      <c r="AA360" s="217">
        <f>+'Plan de Accion apoyo transversa'!BR145</f>
        <v>0</v>
      </c>
      <c r="AB360" s="217">
        <f t="shared" si="333"/>
        <v>0</v>
      </c>
      <c r="AC360" s="216" t="s">
        <v>204</v>
      </c>
      <c r="AD360" s="213"/>
      <c r="AE360" s="218">
        <f>+'Plan de Accion apoyo transversa'!BX145</f>
        <v>1</v>
      </c>
      <c r="AF360" s="1156">
        <f>+'Plan de Accion apoyo transversa'!CK145</f>
        <v>1</v>
      </c>
      <c r="AG360" s="212">
        <f t="shared" ref="AG360" si="336">IF(AF360&gt;100%,100%,AF360)</f>
        <v>1</v>
      </c>
      <c r="AH360" s="1156">
        <f>+'Plan de Accion apoyo transversa'!CB145</f>
        <v>1</v>
      </c>
      <c r="AI360" s="211">
        <f t="shared" ref="AI360" si="337">IF(AH360&gt;100%,100%,AH360)</f>
        <v>1</v>
      </c>
      <c r="AJ360" s="518"/>
      <c r="AL360" s="521"/>
      <c r="AM360" s="517"/>
      <c r="AN360" s="204"/>
      <c r="AO360" s="519"/>
      <c r="AP360" s="517"/>
      <c r="AQ360" s="204"/>
      <c r="AR360" s="517"/>
      <c r="AS360" s="517"/>
      <c r="AT360" s="204"/>
      <c r="AU360" s="517"/>
      <c r="AV360" s="517"/>
      <c r="AW360" s="202"/>
      <c r="AX360" s="522"/>
      <c r="AZ360" s="521"/>
      <c r="BA360" s="517"/>
      <c r="BB360" s="204"/>
      <c r="BC360" s="519"/>
      <c r="BD360" s="517"/>
      <c r="BE360" s="204"/>
      <c r="BF360" s="517"/>
      <c r="BG360" s="517"/>
      <c r="BH360" s="204"/>
      <c r="BI360" s="517"/>
      <c r="BJ360" s="517"/>
      <c r="BK360" s="202"/>
      <c r="BL360" s="522"/>
      <c r="BN360" s="521"/>
      <c r="BO360" s="517"/>
      <c r="BP360" s="204"/>
      <c r="BQ360" s="519"/>
      <c r="BR360" s="517"/>
      <c r="BS360" s="204"/>
      <c r="BT360" s="517"/>
      <c r="BU360" s="517"/>
      <c r="BV360" s="204"/>
      <c r="BW360" s="517"/>
      <c r="BX360" s="517"/>
      <c r="BY360" s="202"/>
      <c r="BZ360" s="522"/>
      <c r="CB360" s="521"/>
      <c r="CC360" s="517"/>
      <c r="CD360" s="204"/>
      <c r="CE360" s="519"/>
      <c r="CF360" s="517"/>
      <c r="CG360" s="204"/>
      <c r="CH360" s="517"/>
      <c r="CI360" s="517"/>
      <c r="CJ360" s="204"/>
      <c r="CK360" s="517"/>
      <c r="CL360" s="517"/>
      <c r="CM360" s="202"/>
      <c r="CN360" s="522"/>
    </row>
    <row r="361" spans="2:92" ht="69.75" customHeight="1" x14ac:dyDescent="0.2">
      <c r="B361" s="1470"/>
      <c r="C361" s="1471"/>
      <c r="D361" s="341" t="s">
        <v>204</v>
      </c>
      <c r="E361" s="343" t="s">
        <v>3</v>
      </c>
      <c r="F361" s="342" t="s">
        <v>330</v>
      </c>
      <c r="G361" s="315" t="str">
        <f>+'Plan de Accion apoyo transversa'!X48</f>
        <v>Boletines de Autocontrol con mensajes o actividades de promoción del  autocontrol para los funcionarios de ADRES.</v>
      </c>
      <c r="H361" s="215" t="str">
        <f>+'Plan de Accion apoyo transversa'!AK48</f>
        <v># Boletines de Autocontrol socializados con los funcionarios de la ADRES 
Indicador acumulado</v>
      </c>
      <c r="J361" s="218">
        <f>+'Plan de Accion apoyo transversa'!AT48</f>
        <v>3</v>
      </c>
      <c r="K361" s="476">
        <f>+'Plan de Accion apoyo transversa'!CE48</f>
        <v>1</v>
      </c>
      <c r="L361" s="476">
        <f>IF(K361&gt;100%,100%,K361)</f>
        <v>1</v>
      </c>
      <c r="M361" s="476">
        <f>+'Plan de Accion apoyo transversa'!AX48</f>
        <v>0.25</v>
      </c>
      <c r="N361" s="476">
        <f>IF(M361&gt;100%,100%,M361)</f>
        <v>0.25</v>
      </c>
      <c r="O361" s="478">
        <f>+N361</f>
        <v>0.25</v>
      </c>
      <c r="P361" s="213"/>
      <c r="Q361" s="218">
        <f>+'Plan de Accion apoyo transversa'!BD48</f>
        <v>3</v>
      </c>
      <c r="R361" s="248">
        <f>+'Plan de Accion apoyo transversa'!CG48</f>
        <v>1</v>
      </c>
      <c r="S361" s="212">
        <f>IF(R361&gt;100%,100%,R361)</f>
        <v>1</v>
      </c>
      <c r="T361" s="304">
        <f>+'Plan de Accion apoyo transversa'!BH48</f>
        <v>0.5</v>
      </c>
      <c r="U361" s="304">
        <f t="shared" si="331"/>
        <v>0.5</v>
      </c>
      <c r="V361" s="211">
        <f t="shared" si="332"/>
        <v>0.5</v>
      </c>
      <c r="W361" s="213"/>
      <c r="X361" s="218">
        <f>+'Plan de Accion apoyo transversa'!BN48</f>
        <v>3</v>
      </c>
      <c r="Y361" s="248">
        <f>+'Plan de Accion apoyo transversa'!CI48</f>
        <v>1</v>
      </c>
      <c r="Z361" s="212">
        <f>IF(Y361&gt;100%,100%,Y361)</f>
        <v>1</v>
      </c>
      <c r="AA361" s="217">
        <f>+'Plan de Accion apoyo transversa'!BR48</f>
        <v>0.75</v>
      </c>
      <c r="AB361" s="217">
        <f t="shared" si="333"/>
        <v>0.75</v>
      </c>
      <c r="AC361" s="216">
        <f t="shared" si="335"/>
        <v>0.75</v>
      </c>
      <c r="AD361" s="213"/>
      <c r="AE361" s="218">
        <f>+'Plan de Accion apoyo transversa'!BX48</f>
        <v>3</v>
      </c>
      <c r="AF361" s="248">
        <f>+'Plan de Accion apoyo transversa'!CK48</f>
        <v>1</v>
      </c>
      <c r="AG361" s="212">
        <f>IF(AF361&gt;100%,100%,AF361)</f>
        <v>1</v>
      </c>
      <c r="AH361" s="248">
        <f>+'Plan de Accion apoyo transversa'!CB48</f>
        <v>1</v>
      </c>
      <c r="AI361" s="211">
        <f t="shared" si="334"/>
        <v>1</v>
      </c>
      <c r="AJ361" s="348"/>
      <c r="AL361" s="347"/>
      <c r="AM361" s="344"/>
      <c r="AN361" s="204"/>
      <c r="AO361" s="345"/>
      <c r="AP361" s="344"/>
      <c r="AQ361" s="204"/>
      <c r="AR361" s="344"/>
      <c r="AS361" s="344"/>
      <c r="AT361" s="204"/>
      <c r="AU361" s="344"/>
      <c r="AV361" s="344"/>
      <c r="AW361" s="202"/>
      <c r="AX361" s="346"/>
      <c r="AZ361" s="347"/>
      <c r="BA361" s="344"/>
      <c r="BB361" s="204"/>
      <c r="BC361" s="345"/>
      <c r="BD361" s="344"/>
      <c r="BE361" s="204"/>
      <c r="BF361" s="344"/>
      <c r="BG361" s="344"/>
      <c r="BH361" s="204"/>
      <c r="BI361" s="344"/>
      <c r="BJ361" s="344"/>
      <c r="BK361" s="202"/>
      <c r="BL361" s="346"/>
      <c r="BN361" s="347"/>
      <c r="BO361" s="344"/>
      <c r="BP361" s="204"/>
      <c r="BQ361" s="345"/>
      <c r="BR361" s="344"/>
      <c r="BS361" s="204"/>
      <c r="BT361" s="344"/>
      <c r="BU361" s="344"/>
      <c r="BV361" s="204"/>
      <c r="BW361" s="344"/>
      <c r="BX361" s="344"/>
      <c r="BY361" s="202"/>
      <c r="BZ361" s="346"/>
      <c r="CB361" s="347"/>
      <c r="CC361" s="344"/>
      <c r="CD361" s="204"/>
      <c r="CE361" s="345"/>
      <c r="CF361" s="344"/>
      <c r="CG361" s="204"/>
      <c r="CH361" s="344"/>
      <c r="CI361" s="344"/>
      <c r="CJ361" s="204"/>
      <c r="CK361" s="344"/>
      <c r="CL361" s="344"/>
      <c r="CM361" s="202"/>
      <c r="CN361" s="346"/>
    </row>
    <row r="362" spans="2:92" ht="69.75" customHeight="1" x14ac:dyDescent="0.2">
      <c r="B362" s="1470"/>
      <c r="C362" s="1471"/>
      <c r="D362" s="1436" t="s">
        <v>204</v>
      </c>
      <c r="E362" s="1461" t="s">
        <v>231</v>
      </c>
      <c r="F362" s="1442" t="s">
        <v>1186</v>
      </c>
      <c r="G362" s="308" t="str">
        <f>+'Plan de Accion apoyo transversa'!X154</f>
        <v>Jornadas de socialización de la Política actualizada a funcionarios y contratistas</v>
      </c>
      <c r="H362" s="224" t="str">
        <f>+'Plan de Accion apoyo transversa'!AK154</f>
        <v># Políticas socializadas</v>
      </c>
      <c r="J362" s="218">
        <f>+'Plan de Accion apoyo transversa'!AT154</f>
        <v>0</v>
      </c>
      <c r="K362" s="476" t="str">
        <f>+'Plan de Accion apoyo transversa'!CE154</f>
        <v>No Prog ni Ejec</v>
      </c>
      <c r="L362" s="476" t="s">
        <v>204</v>
      </c>
      <c r="M362" s="476">
        <f>+'Plan de Accion apoyo transversa'!AX154</f>
        <v>0</v>
      </c>
      <c r="N362" s="476">
        <f t="shared" si="306"/>
        <v>0</v>
      </c>
      <c r="O362" s="478" t="s">
        <v>204</v>
      </c>
      <c r="P362" s="213"/>
      <c r="Q362" s="218">
        <f>+'Plan de Accion apoyo transversa'!BD154</f>
        <v>1</v>
      </c>
      <c r="R362" s="304">
        <f>+'Plan de Accion apoyo transversa'!CG154</f>
        <v>1</v>
      </c>
      <c r="S362" s="248">
        <f t="shared" si="330"/>
        <v>1</v>
      </c>
      <c r="T362" s="304">
        <f>+'Plan de Accion apoyo transversa'!BH154</f>
        <v>1</v>
      </c>
      <c r="U362" s="304">
        <f t="shared" si="331"/>
        <v>1</v>
      </c>
      <c r="V362" s="211">
        <f t="shared" si="332"/>
        <v>1</v>
      </c>
      <c r="W362" s="213"/>
      <c r="X362" s="218">
        <f>+'Plan de Accion apoyo transversa'!BN154</f>
        <v>0</v>
      </c>
      <c r="Y362" s="304" t="str">
        <f>+'Plan de Accion apoyo transversa'!CI154</f>
        <v>No Prog ni Ejec</v>
      </c>
      <c r="Z362" s="212" t="s">
        <v>204</v>
      </c>
      <c r="AA362" s="217">
        <f>+'Plan de Accion apoyo transversa'!BR154</f>
        <v>1</v>
      </c>
      <c r="AB362" s="217">
        <f t="shared" si="333"/>
        <v>1</v>
      </c>
      <c r="AC362" s="216">
        <f t="shared" si="335"/>
        <v>1</v>
      </c>
      <c r="AD362" s="213"/>
      <c r="AE362" s="218">
        <f>+'Plan de Accion apoyo transversa'!BX154</f>
        <v>0</v>
      </c>
      <c r="AF362" s="304" t="str">
        <f>+'Plan de Accion apoyo transversa'!CK154</f>
        <v>No Prog ni Ejec</v>
      </c>
      <c r="AG362" s="212" t="s">
        <v>204</v>
      </c>
      <c r="AH362" s="304">
        <f>+'Plan de Accion apoyo transversa'!CB154</f>
        <v>1</v>
      </c>
      <c r="AI362" s="211">
        <f t="shared" si="334"/>
        <v>1</v>
      </c>
      <c r="AJ362" s="314"/>
      <c r="AL362" s="313"/>
      <c r="AM362" s="309"/>
      <c r="AN362" s="204"/>
      <c r="AO362" s="310"/>
      <c r="AP362" s="309"/>
      <c r="AQ362" s="204"/>
      <c r="AR362" s="309"/>
      <c r="AS362" s="309"/>
      <c r="AT362" s="204"/>
      <c r="AU362" s="309"/>
      <c r="AV362" s="309"/>
      <c r="AW362" s="202"/>
      <c r="AX362" s="312"/>
      <c r="AZ362" s="313"/>
      <c r="BA362" s="309"/>
      <c r="BB362" s="204"/>
      <c r="BC362" s="310"/>
      <c r="BD362" s="309"/>
      <c r="BE362" s="204"/>
      <c r="BF362" s="309"/>
      <c r="BG362" s="309"/>
      <c r="BH362" s="204"/>
      <c r="BI362" s="309"/>
      <c r="BJ362" s="309"/>
      <c r="BK362" s="202"/>
      <c r="BL362" s="312"/>
      <c r="BN362" s="313"/>
      <c r="BO362" s="309"/>
      <c r="BP362" s="204"/>
      <c r="BQ362" s="310"/>
      <c r="BR362" s="309"/>
      <c r="BS362" s="204"/>
      <c r="BT362" s="309"/>
      <c r="BU362" s="309"/>
      <c r="BV362" s="204"/>
      <c r="BW362" s="309"/>
      <c r="BX362" s="309"/>
      <c r="BY362" s="202"/>
      <c r="BZ362" s="312"/>
      <c r="CB362" s="313"/>
      <c r="CC362" s="309"/>
      <c r="CD362" s="204"/>
      <c r="CE362" s="310"/>
      <c r="CF362" s="309"/>
      <c r="CG362" s="204"/>
      <c r="CH362" s="309"/>
      <c r="CI362" s="309"/>
      <c r="CJ362" s="204"/>
      <c r="CK362" s="309"/>
      <c r="CL362" s="309"/>
      <c r="CM362" s="202"/>
      <c r="CN362" s="312"/>
    </row>
    <row r="363" spans="2:92" ht="69.75" customHeight="1" thickBot="1" x14ac:dyDescent="0.25">
      <c r="B363" s="1470"/>
      <c r="C363" s="1474"/>
      <c r="D363" s="1438"/>
      <c r="E363" s="1472"/>
      <c r="F363" s="1444"/>
      <c r="G363" s="308" t="str">
        <f>+'Plan de Accion apoyo transversa'!X158</f>
        <v xml:space="preserve">Listas de asistencia a reuniones de autocontrol </v>
      </c>
      <c r="H363" s="224" t="str">
        <f>+'Plan de Accion apoyo transversa'!AK158</f>
        <v xml:space="preserve"># Listas de asistencia a reuniones de autocontrol </v>
      </c>
      <c r="J363" s="218">
        <f>+'Plan de Accion apoyo transversa'!AT158</f>
        <v>0</v>
      </c>
      <c r="K363" s="476" t="str">
        <f>+'Plan de Accion apoyo transversa'!CE158</f>
        <v>No Prog ni Ejec</v>
      </c>
      <c r="L363" s="476" t="s">
        <v>204</v>
      </c>
      <c r="M363" s="476">
        <f>+'Plan de Accion apoyo transversa'!AX158</f>
        <v>0</v>
      </c>
      <c r="N363" s="476">
        <f t="shared" si="306"/>
        <v>0</v>
      </c>
      <c r="O363" s="478" t="s">
        <v>204</v>
      </c>
      <c r="P363" s="213"/>
      <c r="Q363" s="439">
        <f>+'Plan de Accion apoyo transversa'!BD158</f>
        <v>1</v>
      </c>
      <c r="R363" s="649">
        <f>+'Plan de Accion apoyo transversa'!CG158</f>
        <v>1</v>
      </c>
      <c r="S363" s="648">
        <f t="shared" si="330"/>
        <v>1</v>
      </c>
      <c r="T363" s="649">
        <f>+'Plan de Accion apoyo transversa'!BH158</f>
        <v>0.33333333333333331</v>
      </c>
      <c r="U363" s="649">
        <f t="shared" si="331"/>
        <v>0.33333333333333331</v>
      </c>
      <c r="V363" s="442">
        <f t="shared" si="332"/>
        <v>0.33333333333333331</v>
      </c>
      <c r="W363" s="213"/>
      <c r="X363" s="218">
        <f>+'Plan de Accion apoyo transversa'!BN158</f>
        <v>1</v>
      </c>
      <c r="Y363" s="304">
        <f>+'Plan de Accion apoyo transversa'!CI158</f>
        <v>1</v>
      </c>
      <c r="Z363" s="212">
        <f>IF(Y363&gt;100%,100%,Y363)</f>
        <v>1</v>
      </c>
      <c r="AA363" s="217">
        <f>+'Plan de Accion apoyo transversa'!BR158</f>
        <v>0.66666666666666663</v>
      </c>
      <c r="AB363" s="217">
        <f t="shared" si="333"/>
        <v>0.66666666666666663</v>
      </c>
      <c r="AC363" s="216">
        <f t="shared" si="335"/>
        <v>0.66666666666666663</v>
      </c>
      <c r="AD363" s="213"/>
      <c r="AE363" s="218">
        <f>+'Plan de Accion apoyo transversa'!BX158</f>
        <v>1</v>
      </c>
      <c r="AF363" s="304">
        <f>+'Plan de Accion apoyo transversa'!CK158</f>
        <v>1</v>
      </c>
      <c r="AG363" s="212">
        <f t="shared" si="328"/>
        <v>1</v>
      </c>
      <c r="AH363" s="304">
        <f>+'Plan de Accion apoyo transversa'!CB158</f>
        <v>1</v>
      </c>
      <c r="AI363" s="211">
        <f t="shared" si="334"/>
        <v>1</v>
      </c>
      <c r="AJ363" s="314"/>
      <c r="AL363" s="313"/>
      <c r="AM363" s="309"/>
      <c r="AN363" s="204"/>
      <c r="AO363" s="310"/>
      <c r="AP363" s="309"/>
      <c r="AQ363" s="204"/>
      <c r="AR363" s="309"/>
      <c r="AS363" s="309"/>
      <c r="AT363" s="204"/>
      <c r="AU363" s="309"/>
      <c r="AV363" s="309"/>
      <c r="AW363" s="202"/>
      <c r="AX363" s="312"/>
      <c r="AZ363" s="313"/>
      <c r="BA363" s="309"/>
      <c r="BB363" s="204"/>
      <c r="BC363" s="310"/>
      <c r="BD363" s="309"/>
      <c r="BE363" s="204"/>
      <c r="BF363" s="309"/>
      <c r="BG363" s="309"/>
      <c r="BH363" s="204"/>
      <c r="BI363" s="309"/>
      <c r="BJ363" s="309"/>
      <c r="BK363" s="202"/>
      <c r="BL363" s="312"/>
      <c r="BN363" s="313"/>
      <c r="BO363" s="309"/>
      <c r="BP363" s="204"/>
      <c r="BQ363" s="310"/>
      <c r="BR363" s="309"/>
      <c r="BS363" s="204"/>
      <c r="BT363" s="309"/>
      <c r="BU363" s="309"/>
      <c r="BV363" s="204"/>
      <c r="BW363" s="309"/>
      <c r="BX363" s="309"/>
      <c r="BY363" s="202"/>
      <c r="BZ363" s="312"/>
      <c r="CB363" s="313"/>
      <c r="CC363" s="309"/>
      <c r="CD363" s="204"/>
      <c r="CE363" s="310"/>
      <c r="CF363" s="309"/>
      <c r="CG363" s="204"/>
      <c r="CH363" s="309"/>
      <c r="CI363" s="309"/>
      <c r="CJ363" s="204"/>
      <c r="CK363" s="309"/>
      <c r="CL363" s="309"/>
      <c r="CM363" s="202"/>
      <c r="CN363" s="312"/>
    </row>
    <row r="364" spans="2:92" ht="20.25" thickBot="1" x14ac:dyDescent="0.3">
      <c r="B364" s="1463" t="s">
        <v>218</v>
      </c>
      <c r="C364" s="1465"/>
      <c r="D364" s="1465"/>
      <c r="E364" s="1465"/>
      <c r="F364" s="1466"/>
      <c r="G364" s="1466"/>
      <c r="H364" s="1467"/>
      <c r="J364" s="197" t="s">
        <v>204</v>
      </c>
      <c r="K364" s="196">
        <f>AVERAGE(K309:K363)</f>
        <v>0.875</v>
      </c>
      <c r="L364" s="200">
        <f>IF(K364&gt;100%,100%,K364)</f>
        <v>0.875</v>
      </c>
      <c r="M364" s="196">
        <f>AVERAGE(M309:M363)</f>
        <v>0.10575084149326806</v>
      </c>
      <c r="N364" s="196">
        <f>IF(M364&gt;25%,25%,M364)</f>
        <v>0.10575084149326806</v>
      </c>
      <c r="O364" s="199">
        <f>AVERAGE(O309:O363)</f>
        <v>0.42300336597307225</v>
      </c>
      <c r="P364" s="198"/>
      <c r="Q364" s="197" t="s">
        <v>204</v>
      </c>
      <c r="R364" s="196">
        <f>AVERAGE(R309:R363)</f>
        <v>0.81818181818181823</v>
      </c>
      <c r="S364" s="200">
        <f>IF(R364&gt;100%,100%,R364)</f>
        <v>0.81818181818181823</v>
      </c>
      <c r="T364" s="196">
        <f>AVERAGE(T309:T363)</f>
        <v>0.22781517747858016</v>
      </c>
      <c r="U364" s="196">
        <f>IF(T364&gt;50%,50%,T364)</f>
        <v>0.22781517747858016</v>
      </c>
      <c r="V364" s="778">
        <f>AVERAGE(V309:V363)</f>
        <v>0.45563035495716031</v>
      </c>
      <c r="W364" s="198"/>
      <c r="X364" s="977" t="s">
        <v>204</v>
      </c>
      <c r="Y364" s="978">
        <f>AVERAGE(Y309:Y363)</f>
        <v>0.6333333333333333</v>
      </c>
      <c r="Z364" s="979">
        <f>IF(Y364&gt;100%,100%,Y364)</f>
        <v>0.6333333333333333</v>
      </c>
      <c r="AA364" s="980">
        <f>AVERAGE(AA309:AA363)</f>
        <v>0.43784242583202188</v>
      </c>
      <c r="AB364" s="980">
        <f>IF(AA364&gt;75%,75%,AA364)</f>
        <v>0.43784242583202188</v>
      </c>
      <c r="AC364" s="981">
        <f>AVERAGE(AC309:AC363)</f>
        <v>0.53302556188246142</v>
      </c>
      <c r="AD364" s="198"/>
      <c r="AE364" s="197" t="s">
        <v>204</v>
      </c>
      <c r="AF364" s="196">
        <f>AVERAGE(AF309:AF363)</f>
        <v>0.86923076923076925</v>
      </c>
      <c r="AG364" s="200">
        <f>IF(AF364&gt;100%,100%,AF364)</f>
        <v>0.86923076923076925</v>
      </c>
      <c r="AH364" s="782">
        <f>AVERAGE(AH309:AH363)</f>
        <v>0.75</v>
      </c>
      <c r="AI364" s="1162">
        <f>AVERAGE(AI309:AI363)</f>
        <v>0.77777777777777779</v>
      </c>
      <c r="AL364" s="193"/>
      <c r="AM364" s="195"/>
      <c r="AN364" s="194"/>
      <c r="AO364" s="193"/>
      <c r="AP364" s="192"/>
      <c r="AQ364" s="194"/>
      <c r="AR364" s="193"/>
      <c r="AS364" s="192"/>
      <c r="AT364" s="194"/>
      <c r="AU364" s="193"/>
      <c r="AV364" s="192"/>
      <c r="AZ364" s="193"/>
      <c r="BA364" s="195"/>
      <c r="BB364" s="194"/>
      <c r="BC364" s="193"/>
      <c r="BD364" s="192"/>
      <c r="BE364" s="194"/>
      <c r="BF364" s="193"/>
      <c r="BG364" s="192"/>
      <c r="BH364" s="194"/>
      <c r="BI364" s="193"/>
      <c r="BJ364" s="192"/>
      <c r="BN364" s="193"/>
      <c r="BO364" s="195"/>
      <c r="BP364" s="194"/>
      <c r="BQ364" s="193"/>
      <c r="BR364" s="192"/>
      <c r="BS364" s="194"/>
      <c r="BT364" s="193"/>
      <c r="BU364" s="192"/>
      <c r="BV364" s="194"/>
      <c r="BW364" s="193"/>
      <c r="BX364" s="192"/>
      <c r="CB364" s="193"/>
      <c r="CC364" s="195"/>
      <c r="CD364" s="194"/>
      <c r="CE364" s="193"/>
      <c r="CF364" s="192"/>
      <c r="CG364" s="194"/>
      <c r="CH364" s="193"/>
      <c r="CI364" s="192"/>
      <c r="CJ364" s="194"/>
      <c r="CK364" s="193"/>
      <c r="CL364" s="192"/>
    </row>
    <row r="365" spans="2:92" ht="25.5" thickBot="1" x14ac:dyDescent="0.35">
      <c r="B365" s="1463" t="s">
        <v>1153</v>
      </c>
      <c r="C365" s="1465"/>
      <c r="D365" s="1465"/>
      <c r="E365" s="1465"/>
      <c r="F365" s="1466"/>
      <c r="G365" s="1466"/>
      <c r="H365" s="1467"/>
      <c r="J365" s="190" t="str">
        <f>+J364</f>
        <v>N.A</v>
      </c>
      <c r="K365" s="188">
        <f>(K133+K208+K308+K364)/4</f>
        <v>0.77056069755000045</v>
      </c>
      <c r="L365" s="188">
        <f>(L133+L208+L308+L364)/4</f>
        <v>0.77056069755000045</v>
      </c>
      <c r="M365" s="188">
        <f>(M133+M208+M308+M364)/4</f>
        <v>0.15523882129705999</v>
      </c>
      <c r="N365" s="188">
        <f>(N133+N208+N308+N364)/4</f>
        <v>0.15523882129705999</v>
      </c>
      <c r="O365" s="185">
        <f>(O133+O208+O308+O364)/4</f>
        <v>0.31223227398452402</v>
      </c>
      <c r="P365" s="183"/>
      <c r="Q365" s="186" t="str">
        <f>+Q364</f>
        <v>N.A</v>
      </c>
      <c r="R365" s="188">
        <f>(R133+R208+R308+R364)/4</f>
        <v>0.91665894613321575</v>
      </c>
      <c r="S365" s="189">
        <f>(S133+S208+S308+S364)/4</f>
        <v>0.91241065875971161</v>
      </c>
      <c r="T365" s="188">
        <f>(T133+T208+T308+T364)/4</f>
        <v>0.30635701531072479</v>
      </c>
      <c r="U365" s="188">
        <f>(U133+U208+U308+U364)/4</f>
        <v>0.30635701531072479</v>
      </c>
      <c r="V365" s="185">
        <f>(V133+V208+V308+V364)/4</f>
        <v>0.44125725267642657</v>
      </c>
      <c r="W365" s="183"/>
      <c r="X365" s="190" t="str">
        <f>+X364</f>
        <v>N.A</v>
      </c>
      <c r="Y365" s="188">
        <f>(Y133+Y208+Y308+Y364)/4</f>
        <v>0.84173552612437563</v>
      </c>
      <c r="Z365" s="188">
        <f>(Z133+Z208+Z308+Z364)/4</f>
        <v>0.84173552612437563</v>
      </c>
      <c r="AA365" s="986">
        <f>(AA133+AA208+AA308+AA364)/4</f>
        <v>0.5384151268222549</v>
      </c>
      <c r="AB365" s="986">
        <f>(AB133+AB208+AB308+AB364)/4</f>
        <v>0.5384151268222549</v>
      </c>
      <c r="AC365" s="187">
        <f>(AC133+AC208+AC308+AC364)/4</f>
        <v>0.60140598888802155</v>
      </c>
      <c r="AD365" s="183"/>
      <c r="AE365" s="186" t="str">
        <f>+AE364</f>
        <v>N.A</v>
      </c>
      <c r="AF365" s="188">
        <f>(AF133+AF208+AF308+AF364)/4</f>
        <v>0.92636158916595446</v>
      </c>
      <c r="AG365" s="189">
        <f>(AG133+AG208+AG308+AG364)/4</f>
        <v>0.92636158916595446</v>
      </c>
      <c r="AH365" s="188">
        <f>(AH133+AH208+AH308+AH364)/4</f>
        <v>0.80877132108351779</v>
      </c>
      <c r="AI365" s="350">
        <f>(AI133+AI208+AI308+AI364)/4</f>
        <v>0.81480145735888609</v>
      </c>
      <c r="BG365" s="191"/>
      <c r="BH365" s="191"/>
    </row>
    <row r="366" spans="2:92" ht="25.5" thickBot="1" x14ac:dyDescent="0.35">
      <c r="B366" s="1463" t="s">
        <v>1152</v>
      </c>
      <c r="C366" s="1465"/>
      <c r="D366" s="1465"/>
      <c r="E366" s="1465"/>
      <c r="F366" s="1466"/>
      <c r="G366" s="1466"/>
      <c r="H366" s="1467"/>
      <c r="J366" s="190" t="str">
        <f>+J365</f>
        <v>N.A</v>
      </c>
      <c r="K366" s="188">
        <f>AVERAGE(K15:K132,K134,K136:K207,K209:K307,K309:K363)</f>
        <v>0.75515109526857638</v>
      </c>
      <c r="L366" s="189">
        <f>AVERAGE(L15:L132,L134,L136:L207,L209:L307,L309:L363)</f>
        <v>0.73887319823269992</v>
      </c>
      <c r="M366" s="188">
        <f>AVERAGE(M15:M35,M37:M132,M134,M136:M207,M209:M307,M309:M363)</f>
        <v>0.16456929146223165</v>
      </c>
      <c r="N366" s="188">
        <f>AVERAGE(N15:N35,N37:N132,N134,N136:N207,N209:N307,N309:N363)</f>
        <v>0.16328281216988566</v>
      </c>
      <c r="O366" s="188">
        <f>AVERAGE(O15:O132,O134,O136:O207,O209:O307,O309:O363)</f>
        <v>0.29160645688146458</v>
      </c>
      <c r="P366" s="183"/>
      <c r="Q366" s="186" t="str">
        <f>+Q365</f>
        <v>N.A</v>
      </c>
      <c r="R366" s="188">
        <f>AVERAGE(R15:R132,R134:R190,R192:R207,R209:R223,R225:R307,R309:R363)</f>
        <v>0.94302569649680579</v>
      </c>
      <c r="S366" s="188">
        <f>AVERAGE(S15:S132,S134:S207,S209:S223,S225:S307,S309:S363)</f>
        <v>0.89315650778653244</v>
      </c>
      <c r="T366" s="188">
        <f>AVERAGE(T15:T35,T37:T132,T134:T190,T192:T207,T209:T307,T309:T363)</f>
        <v>0.32367113561316363</v>
      </c>
      <c r="U366" s="188">
        <f>AVERAGE(U15:U35,U37:U132,U134:U190,U192:U207,U209:U307,U309:U363)</f>
        <v>0.32528749715381206</v>
      </c>
      <c r="V366" s="188">
        <f>AVERAGE(V15:V132,V134:V207,V209:V307,V309:V363)</f>
        <v>0.44784705661957913</v>
      </c>
      <c r="W366" s="183"/>
      <c r="X366" s="186" t="str">
        <f>+X365</f>
        <v>N.A</v>
      </c>
      <c r="Y366" s="982">
        <f>AVERAGE(Y15:Y132,Y134:Y190,Y192:Y207,Y209:Y307,Y309:Y363)</f>
        <v>0.89394875826112263</v>
      </c>
      <c r="Z366" s="983">
        <f>AVERAGE(Z15:Z132,Z134:Z206,Z209:Z307,Z309:Z363)</f>
        <v>0.8183306443409909</v>
      </c>
      <c r="AA366" s="984">
        <f>AVERAGE(AA15:AA35,AA37:AA132,AA134:AA190,AA192:AA207,AA209:AA307,AA309:AA363)</f>
        <v>0.56745831424937954</v>
      </c>
      <c r="AB366" s="984">
        <f>AVERAGE(AB15:AB35,AB37:AB132,AB134:AB190,AB192:AB207,AB209:AB307,AB309:AB363)</f>
        <v>0.56432909893230154</v>
      </c>
      <c r="AC366" s="985">
        <f>AVERAGE(AC15:AC132,AC134:AC206,AC209:AC307,AC309:AC363)</f>
        <v>0.62796127113282352</v>
      </c>
      <c r="AD366" s="183"/>
      <c r="AE366" s="186" t="str">
        <f>+AE365</f>
        <v>N.A</v>
      </c>
      <c r="AF366" s="188">
        <f>AVERAGE(AF15:AF132,AF134:AF206,AF209:AF307,AF309:AF363)</f>
        <v>0.94113862909862989</v>
      </c>
      <c r="AG366" s="189">
        <f>AVERAGE(AG15:AG132,AG134:AG206,AG209:AG307,AG309:AG363)</f>
        <v>0.89121467622735706</v>
      </c>
      <c r="AH366" s="188">
        <f>AVERAGE(AH15:AH132,AH134:AH206,AH209:AH307,AH309:AH363)</f>
        <v>0.8345716360389569</v>
      </c>
      <c r="AI366" s="350">
        <f>AVERAGE(AI15:AI132,AI134:AI206,AI209:AI307,AI309:AI363)</f>
        <v>0.83434064268919306</v>
      </c>
    </row>
    <row r="367" spans="2:92" ht="25.5" thickBot="1" x14ac:dyDescent="0.35">
      <c r="B367" s="1463" t="s">
        <v>1151</v>
      </c>
      <c r="C367" s="1465"/>
      <c r="D367" s="1465"/>
      <c r="E367" s="1465"/>
      <c r="F367" s="1466"/>
      <c r="G367" s="1466"/>
      <c r="H367" s="1467"/>
      <c r="J367" s="190" t="str">
        <f>+J366</f>
        <v>N.A</v>
      </c>
      <c r="K367" s="188">
        <f>AVERAGE(K134,K136:K207,K209:K307,K309:K363)</f>
        <v>0.82827611840275961</v>
      </c>
      <c r="L367" s="189">
        <f>AVERAGE(L134,L136:L207,L209:L307,L309:L363)</f>
        <v>0.80930899356405339</v>
      </c>
      <c r="M367" s="188">
        <f>AVERAGE(M134,M136:M207,M209:M307,M309:M363)</f>
        <v>0.1744619595868746</v>
      </c>
      <c r="N367" s="188">
        <f>AVERAGE(N134,N136:N207,N209:N307,N309:N363)</f>
        <v>0.1744619595868746</v>
      </c>
      <c r="O367" s="188">
        <f>AVERAGE(O134,O136:O207,O209:O307,O309:O363)</f>
        <v>0.33468212655441248</v>
      </c>
      <c r="P367" s="183"/>
      <c r="Q367" s="186" t="str">
        <f>+Q366</f>
        <v>N.A</v>
      </c>
      <c r="R367" s="188">
        <f>AVERAGE(R134:R190,R192:R207,R209:R223,R225:R307,R309:R363)</f>
        <v>0.97790975377079159</v>
      </c>
      <c r="S367" s="188">
        <f>AVERAGE(S134:S207,S209:S223,S225:S307,S309:S363)</f>
        <v>0.9223970981101518</v>
      </c>
      <c r="T367" s="188">
        <f>AVERAGE(T134:T190,T192:T207,T209:T307,T309:T363)</f>
        <v>0.33301432820132304</v>
      </c>
      <c r="U367" s="188">
        <f>AVERAGE(U134:U190,U192:U207,U209:U307,U309:U363)</f>
        <v>0.33301432820132304</v>
      </c>
      <c r="V367" s="188">
        <f>AVERAGE(V134:V207,V209:V307,V309:V363)</f>
        <v>0.48220474723551576</v>
      </c>
      <c r="W367" s="183"/>
      <c r="X367" s="186" t="str">
        <f>+X366</f>
        <v>N.A</v>
      </c>
      <c r="Y367" s="188">
        <f>AVERAGE(Y134:Y190,Y192:Y207,Y209:Y307,Y309:Y363)</f>
        <v>0.9258935923392545</v>
      </c>
      <c r="Z367" s="189">
        <f>AVERAGE(Z134:Z206,Z209:Z307,Z309:Z363)</f>
        <v>0.83878566373818064</v>
      </c>
      <c r="AA367" s="976">
        <f>AVERAGE(AA134:AA190,AA192:AA207,AA209:AA307,AA309:AA363)</f>
        <v>0.59124296020598477</v>
      </c>
      <c r="AB367" s="976">
        <f>AVERAGE(AB134:AB190,AB192:AB207,AB209:AB307,AB309:AB363)</f>
        <v>0.58895358291660749</v>
      </c>
      <c r="AC367" s="187">
        <f>AVERAGE(AC134:AC206,AC209:AC307,AC309:AC363)</f>
        <v>0.67208577272672509</v>
      </c>
      <c r="AD367" s="183"/>
      <c r="AE367" s="186" t="str">
        <f>+AE366</f>
        <v>N.A</v>
      </c>
      <c r="AF367" s="188">
        <f>AVERAGE(AF134:AF206,AF209:AF307,AF309:AF363)</f>
        <v>0.95521646376589897</v>
      </c>
      <c r="AG367" s="189">
        <f>AVERAGE(AG134:AG206,AG209:AG307,AG309:AG363)</f>
        <v>0.9108383382893579</v>
      </c>
      <c r="AH367" s="188">
        <f>AVERAGE(AH134:AH206,AH209:AH307,AH309:AH363)</f>
        <v>0.86113082251545736</v>
      </c>
      <c r="AI367" s="350">
        <f>AVERAGE(AI134:AI206,AI209:AI307,AI309:AI363)</f>
        <v>0.86279103443956806</v>
      </c>
    </row>
    <row r="368" spans="2:92" s="174" customFormat="1" ht="24.75" x14ac:dyDescent="0.3">
      <c r="B368" s="184"/>
      <c r="C368" s="184"/>
      <c r="D368" s="184"/>
      <c r="E368" s="184"/>
      <c r="F368" s="184"/>
      <c r="G368" s="184"/>
      <c r="H368" s="184"/>
      <c r="I368" s="175"/>
      <c r="J368" s="182"/>
      <c r="K368" s="172"/>
      <c r="L368" s="172"/>
      <c r="M368" s="172"/>
      <c r="N368" s="172"/>
      <c r="O368" s="172"/>
      <c r="P368" s="183"/>
      <c r="Q368" s="182"/>
      <c r="R368" s="172"/>
      <c r="S368" s="172"/>
      <c r="T368" s="172"/>
      <c r="U368" s="172"/>
      <c r="V368" s="172"/>
      <c r="W368" s="183"/>
      <c r="X368" s="182"/>
      <c r="Y368" s="172"/>
      <c r="Z368" s="172"/>
      <c r="AA368" s="172"/>
      <c r="AB368" s="172"/>
      <c r="AC368" s="172"/>
      <c r="AD368" s="183"/>
      <c r="AE368" s="182"/>
      <c r="AF368" s="172"/>
      <c r="AG368" s="172"/>
      <c r="AH368" s="172"/>
      <c r="AI368" s="172"/>
      <c r="AK368" s="1169"/>
    </row>
    <row r="369" spans="2:37" ht="24.75" customHeight="1" x14ac:dyDescent="0.25">
      <c r="B369" s="181" t="s">
        <v>1150</v>
      </c>
      <c r="C369" s="180"/>
      <c r="D369" s="180"/>
      <c r="E369" s="180"/>
      <c r="F369" s="180"/>
      <c r="G369" s="180"/>
      <c r="H369" s="179"/>
      <c r="P369" s="292"/>
      <c r="W369" s="292"/>
    </row>
    <row r="370" spans="2:37" x14ac:dyDescent="0.2">
      <c r="B370" s="180"/>
      <c r="C370" s="180"/>
      <c r="D370" s="180"/>
      <c r="E370" s="180"/>
      <c r="F370" s="180"/>
      <c r="G370" s="180"/>
      <c r="H370" s="179"/>
      <c r="P370" s="292"/>
      <c r="W370" s="292"/>
    </row>
    <row r="371" spans="2:37" x14ac:dyDescent="0.2">
      <c r="B371" s="180"/>
      <c r="C371" s="180"/>
      <c r="D371" s="180"/>
      <c r="E371" s="180"/>
      <c r="F371" s="180"/>
      <c r="G371" s="180"/>
      <c r="H371" s="179"/>
      <c r="P371" s="292"/>
      <c r="W371" s="292"/>
    </row>
    <row r="372" spans="2:37" x14ac:dyDescent="0.2">
      <c r="P372" s="292"/>
      <c r="V372" s="178"/>
      <c r="W372" s="292"/>
    </row>
    <row r="373" spans="2:37" ht="18" x14ac:dyDescent="0.25">
      <c r="B373" s="177"/>
      <c r="C373" s="177"/>
      <c r="D373" s="177"/>
      <c r="E373" s="177"/>
      <c r="F373" s="177"/>
      <c r="G373" s="177"/>
      <c r="K373" s="178"/>
      <c r="L373" s="178"/>
      <c r="M373" s="178"/>
      <c r="N373" s="178"/>
      <c r="O373" s="178"/>
      <c r="P373" s="292"/>
      <c r="W373" s="292"/>
    </row>
    <row r="374" spans="2:37" ht="18" x14ac:dyDescent="0.25">
      <c r="B374" s="177"/>
      <c r="C374" s="177"/>
      <c r="D374" s="177"/>
      <c r="E374" s="177"/>
      <c r="F374" s="177"/>
      <c r="G374" s="177"/>
      <c r="I374" s="172"/>
      <c r="J374" s="172"/>
      <c r="P374" s="293"/>
      <c r="W374" s="293"/>
      <c r="AD374" s="176"/>
      <c r="AK374" s="176"/>
    </row>
    <row r="375" spans="2:37" ht="18" x14ac:dyDescent="0.25">
      <c r="B375" s="177"/>
      <c r="C375" s="177"/>
      <c r="D375" s="177"/>
      <c r="E375" s="177"/>
      <c r="F375" s="177"/>
      <c r="G375" s="177"/>
      <c r="I375" s="172"/>
      <c r="J375" s="172"/>
      <c r="P375" s="293"/>
      <c r="W375" s="293"/>
      <c r="AD375" s="176"/>
      <c r="AK375" s="176"/>
    </row>
    <row r="376" spans="2:37" x14ac:dyDescent="0.2">
      <c r="P376" s="292"/>
      <c r="W376" s="292"/>
      <c r="AK376" s="176"/>
    </row>
    <row r="377" spans="2:37" x14ac:dyDescent="0.2">
      <c r="P377" s="292"/>
      <c r="W377" s="292"/>
      <c r="AK377" s="176"/>
    </row>
    <row r="378" spans="2:37" x14ac:dyDescent="0.2">
      <c r="P378" s="292"/>
      <c r="W378" s="292"/>
      <c r="AK378" s="176"/>
    </row>
    <row r="379" spans="2:37" x14ac:dyDescent="0.2">
      <c r="P379" s="292"/>
      <c r="AK379" s="176"/>
    </row>
  </sheetData>
  <sheetProtection algorithmName="SHA-512" hashValue="VpV2nPkudDg04RUFeoyngDOLdC9rPoLxnC+Om6lUQuHFDzpKHCkr9DOAKOOZZvL8IFP2yebm+qlzBq+mtbBA/w==" saltValue="ElOnVTz1P/vnV3Du9ShQGA==" spinCount="100000" sheet="1" objects="1" scenarios="1"/>
  <autoFilter ref="B14:CN367" xr:uid="{00000000-0009-0000-0000-000004000000}"/>
  <mergeCells count="910">
    <mergeCell ref="R92:R97"/>
    <mergeCell ref="S92:S97"/>
    <mergeCell ref="F61:F64"/>
    <mergeCell ref="AI315:AI320"/>
    <mergeCell ref="AE145:AE146"/>
    <mergeCell ref="AI331:AI349"/>
    <mergeCell ref="H331:H349"/>
    <mergeCell ref="J331:J349"/>
    <mergeCell ref="K331:K349"/>
    <mergeCell ref="L331:L349"/>
    <mergeCell ref="M331:M349"/>
    <mergeCell ref="N331:N349"/>
    <mergeCell ref="O331:O349"/>
    <mergeCell ref="Q331:Q349"/>
    <mergeCell ref="R331:R349"/>
    <mergeCell ref="S331:S349"/>
    <mergeCell ref="T331:T349"/>
    <mergeCell ref="U331:U349"/>
    <mergeCell ref="V331:V349"/>
    <mergeCell ref="X331:X349"/>
    <mergeCell ref="Y331:Y349"/>
    <mergeCell ref="Z331:Z349"/>
    <mergeCell ref="AA331:AA349"/>
    <mergeCell ref="AB331:AB349"/>
    <mergeCell ref="AC331:AC349"/>
    <mergeCell ref="AE331:AE349"/>
    <mergeCell ref="AH331:AH349"/>
    <mergeCell ref="AH315:AH320"/>
    <mergeCell ref="X315:X320"/>
    <mergeCell ref="Y315:Y320"/>
    <mergeCell ref="Z315:Z320"/>
    <mergeCell ref="AA315:AA320"/>
    <mergeCell ref="AB315:AB320"/>
    <mergeCell ref="AC315:AC320"/>
    <mergeCell ref="AE315:AE320"/>
    <mergeCell ref="AF315:AF320"/>
    <mergeCell ref="AG315:AG320"/>
    <mergeCell ref="AF331:AF349"/>
    <mergeCell ref="AG331:AG349"/>
    <mergeCell ref="M315:M320"/>
    <mergeCell ref="N315:N320"/>
    <mergeCell ref="O315:O320"/>
    <mergeCell ref="Q315:Q320"/>
    <mergeCell ref="R315:R320"/>
    <mergeCell ref="S315:S320"/>
    <mergeCell ref="T315:T320"/>
    <mergeCell ref="U315:U320"/>
    <mergeCell ref="V315:V320"/>
    <mergeCell ref="J92:J97"/>
    <mergeCell ref="K92:K97"/>
    <mergeCell ref="L92:L97"/>
    <mergeCell ref="M92:M97"/>
    <mergeCell ref="G302:G304"/>
    <mergeCell ref="F306:F307"/>
    <mergeCell ref="F247:F248"/>
    <mergeCell ref="G134:G138"/>
    <mergeCell ref="C172:C207"/>
    <mergeCell ref="F166:F171"/>
    <mergeCell ref="K145:K146"/>
    <mergeCell ref="L145:L146"/>
    <mergeCell ref="E215:E217"/>
    <mergeCell ref="F215:F217"/>
    <mergeCell ref="F212:F214"/>
    <mergeCell ref="E212:E214"/>
    <mergeCell ref="D212:D214"/>
    <mergeCell ref="D172:D181"/>
    <mergeCell ref="D154:D157"/>
    <mergeCell ref="E148:E157"/>
    <mergeCell ref="F148:F157"/>
    <mergeCell ref="C154:C157"/>
    <mergeCell ref="E183:E194"/>
    <mergeCell ref="G177:G178"/>
    <mergeCell ref="AC50:AC53"/>
    <mergeCell ref="X45:X47"/>
    <mergeCell ref="AF68:AF84"/>
    <mergeCell ref="AG68:AG84"/>
    <mergeCell ref="AF50:AF53"/>
    <mergeCell ref="AG50:AG53"/>
    <mergeCell ref="AE48:AE49"/>
    <mergeCell ref="AF48:AF49"/>
    <mergeCell ref="AG48:AG49"/>
    <mergeCell ref="AE45:AE47"/>
    <mergeCell ref="AF45:AF47"/>
    <mergeCell ref="AE50:AE53"/>
    <mergeCell ref="AE68:AE84"/>
    <mergeCell ref="Z68:Z84"/>
    <mergeCell ref="AA68:AA84"/>
    <mergeCell ref="AB68:AB84"/>
    <mergeCell ref="J315:J320"/>
    <mergeCell ref="K315:K320"/>
    <mergeCell ref="L315:L320"/>
    <mergeCell ref="L239:L241"/>
    <mergeCell ref="AE92:AE97"/>
    <mergeCell ref="AF92:AF97"/>
    <mergeCell ref="AG92:AG97"/>
    <mergeCell ref="T92:T97"/>
    <mergeCell ref="U92:U97"/>
    <mergeCell ref="V92:V97"/>
    <mergeCell ref="X92:X97"/>
    <mergeCell ref="Y92:Y97"/>
    <mergeCell ref="Z92:Z97"/>
    <mergeCell ref="AA92:AA97"/>
    <mergeCell ref="AB92:AB97"/>
    <mergeCell ref="R98:R117"/>
    <mergeCell ref="AC145:AC146"/>
    <mergeCell ref="V145:V146"/>
    <mergeCell ref="X145:X146"/>
    <mergeCell ref="Y145:Y146"/>
    <mergeCell ref="Z145:Z146"/>
    <mergeCell ref="AA145:AA146"/>
    <mergeCell ref="AB145:AB146"/>
    <mergeCell ref="AC92:AC97"/>
    <mergeCell ref="C61:C132"/>
    <mergeCell ref="F144:F147"/>
    <mergeCell ref="C148:C153"/>
    <mergeCell ref="D148:D153"/>
    <mergeCell ref="C37:C40"/>
    <mergeCell ref="B133:H133"/>
    <mergeCell ref="F127:F129"/>
    <mergeCell ref="B15:B132"/>
    <mergeCell ref="E15:E17"/>
    <mergeCell ref="F18:F22"/>
    <mergeCell ref="C23:C29"/>
    <mergeCell ref="D23:D29"/>
    <mergeCell ref="E23:E29"/>
    <mergeCell ref="C30:C36"/>
    <mergeCell ref="F23:F29"/>
    <mergeCell ref="B134:B207"/>
    <mergeCell ref="E206:E207"/>
    <mergeCell ref="F199:F207"/>
    <mergeCell ref="F65:F66"/>
    <mergeCell ref="F187:F194"/>
    <mergeCell ref="D124:D126"/>
    <mergeCell ref="F184:F185"/>
    <mergeCell ref="G179:G180"/>
    <mergeCell ref="F172:F173"/>
    <mergeCell ref="T50:T53"/>
    <mergeCell ref="U50:U53"/>
    <mergeCell ref="V50:V53"/>
    <mergeCell ref="X50:X53"/>
    <mergeCell ref="Y50:Y53"/>
    <mergeCell ref="Z50:Z53"/>
    <mergeCell ref="AA50:AA53"/>
    <mergeCell ref="R48:R49"/>
    <mergeCell ref="Q54:Q55"/>
    <mergeCell ref="T48:T49"/>
    <mergeCell ref="R54:R55"/>
    <mergeCell ref="S54:S55"/>
    <mergeCell ref="V54:V55"/>
    <mergeCell ref="N50:N53"/>
    <mergeCell ref="K54:K55"/>
    <mergeCell ref="L54:L55"/>
    <mergeCell ref="O54:O55"/>
    <mergeCell ref="N54:N55"/>
    <mergeCell ref="O50:O53"/>
    <mergeCell ref="Q50:Q53"/>
    <mergeCell ref="R50:R53"/>
    <mergeCell ref="S50:S53"/>
    <mergeCell ref="AI57:AI58"/>
    <mergeCell ref="AF57:AF58"/>
    <mergeCell ref="AG57:AG58"/>
    <mergeCell ref="AF54:AF55"/>
    <mergeCell ref="AG54:AG55"/>
    <mergeCell ref="AH54:AH55"/>
    <mergeCell ref="T54:T55"/>
    <mergeCell ref="U54:U55"/>
    <mergeCell ref="V57:V58"/>
    <mergeCell ref="U57:U58"/>
    <mergeCell ref="T57:T58"/>
    <mergeCell ref="AE54:AE55"/>
    <mergeCell ref="X54:X55"/>
    <mergeCell ref="X57:X58"/>
    <mergeCell ref="Y57:Y58"/>
    <mergeCell ref="Z57:Z58"/>
    <mergeCell ref="AA57:AA58"/>
    <mergeCell ref="AB57:AB58"/>
    <mergeCell ref="AC57:AC58"/>
    <mergeCell ref="AE57:AE58"/>
    <mergeCell ref="AC54:AC55"/>
    <mergeCell ref="B367:H367"/>
    <mergeCell ref="D134:D143"/>
    <mergeCell ref="E159:E162"/>
    <mergeCell ref="F159:F162"/>
    <mergeCell ref="F218:F220"/>
    <mergeCell ref="E218:E220"/>
    <mergeCell ref="D218:D220"/>
    <mergeCell ref="C218:C220"/>
    <mergeCell ref="C236:C237"/>
    <mergeCell ref="D236:D237"/>
    <mergeCell ref="E236:E237"/>
    <mergeCell ref="B364:H364"/>
    <mergeCell ref="F174:F181"/>
    <mergeCell ref="F250:F253"/>
    <mergeCell ref="F256:F259"/>
    <mergeCell ref="F260:F261"/>
    <mergeCell ref="C163:C165"/>
    <mergeCell ref="D163:D165"/>
    <mergeCell ref="E163:E165"/>
    <mergeCell ref="F163:F165"/>
    <mergeCell ref="D223:D235"/>
    <mergeCell ref="E362:E363"/>
    <mergeCell ref="B366:H366"/>
    <mergeCell ref="C159:C162"/>
    <mergeCell ref="M145:M146"/>
    <mergeCell ref="O145:O146"/>
    <mergeCell ref="AC68:AC84"/>
    <mergeCell ref="AA54:AA55"/>
    <mergeCell ref="AB54:AB55"/>
    <mergeCell ref="Y54:Y55"/>
    <mergeCell ref="Z54:Z55"/>
    <mergeCell ref="Y61:Y64"/>
    <mergeCell ref="Z61:Z64"/>
    <mergeCell ref="AA61:AA64"/>
    <mergeCell ref="T68:T84"/>
    <mergeCell ref="M54:M55"/>
    <mergeCell ref="X61:X64"/>
    <mergeCell ref="Q145:Q146"/>
    <mergeCell ref="R145:R146"/>
    <mergeCell ref="S145:S146"/>
    <mergeCell ref="T145:T146"/>
    <mergeCell ref="U145:U146"/>
    <mergeCell ref="Y68:Y84"/>
    <mergeCell ref="U68:U84"/>
    <mergeCell ref="V68:V84"/>
    <mergeCell ref="N92:N97"/>
    <mergeCell ref="O92:O97"/>
    <mergeCell ref="Q92:Q97"/>
    <mergeCell ref="F68:F87"/>
    <mergeCell ref="K68:K84"/>
    <mergeCell ref="L68:L84"/>
    <mergeCell ref="M68:M84"/>
    <mergeCell ref="N68:N84"/>
    <mergeCell ref="O68:O84"/>
    <mergeCell ref="Q68:Q84"/>
    <mergeCell ref="R68:R84"/>
    <mergeCell ref="S68:S84"/>
    <mergeCell ref="Y1:AJ3"/>
    <mergeCell ref="D2:E2"/>
    <mergeCell ref="H2:X2"/>
    <mergeCell ref="D3:E3"/>
    <mergeCell ref="I3:R3"/>
    <mergeCell ref="T3:W3"/>
    <mergeCell ref="B208:H208"/>
    <mergeCell ref="AA14:AC14"/>
    <mergeCell ref="R14:S14"/>
    <mergeCell ref="T14:V14"/>
    <mergeCell ref="H1:X1"/>
    <mergeCell ref="B5:C5"/>
    <mergeCell ref="K14:L14"/>
    <mergeCell ref="M14:O14"/>
    <mergeCell ref="D5:E5"/>
    <mergeCell ref="B1:C3"/>
    <mergeCell ref="D1:E1"/>
    <mergeCell ref="J61:J64"/>
    <mergeCell ref="AB50:AB53"/>
    <mergeCell ref="AC61:AC64"/>
    <mergeCell ref="AB48:AB49"/>
    <mergeCell ref="Y45:Y47"/>
    <mergeCell ref="AB45:AB47"/>
    <mergeCell ref="S57:S58"/>
    <mergeCell ref="AZ13:BL13"/>
    <mergeCell ref="AH14:AI14"/>
    <mergeCell ref="F236:F237"/>
    <mergeCell ref="AE61:AE64"/>
    <mergeCell ref="AF61:AF64"/>
    <mergeCell ref="BD16:BD46"/>
    <mergeCell ref="BF16:BF46"/>
    <mergeCell ref="BG16:BG46"/>
    <mergeCell ref="BI16:BI46"/>
    <mergeCell ref="BJ16:BJ46"/>
    <mergeCell ref="BL16:BL46"/>
    <mergeCell ref="AZ16:AZ46"/>
    <mergeCell ref="BA16:BA46"/>
    <mergeCell ref="BC16:BC46"/>
    <mergeCell ref="AL16:AL46"/>
    <mergeCell ref="AM16:AM46"/>
    <mergeCell ref="AO16:AO46"/>
    <mergeCell ref="AP16:AP46"/>
    <mergeCell ref="G228:G229"/>
    <mergeCell ref="AH50:AH53"/>
    <mergeCell ref="L61:L64"/>
    <mergeCell ref="O57:O58"/>
    <mergeCell ref="Q57:Q58"/>
    <mergeCell ref="R57:R58"/>
    <mergeCell ref="D30:D36"/>
    <mergeCell ref="E30:E36"/>
    <mergeCell ref="F30:F36"/>
    <mergeCell ref="S48:S49"/>
    <mergeCell ref="O48:O49"/>
    <mergeCell ref="Q48:Q49"/>
    <mergeCell ref="K45:K47"/>
    <mergeCell ref="K48:K49"/>
    <mergeCell ref="L48:L49"/>
    <mergeCell ref="M48:M49"/>
    <mergeCell ref="N48:N49"/>
    <mergeCell ref="D37:D40"/>
    <mergeCell ref="E37:E40"/>
    <mergeCell ref="F37:F40"/>
    <mergeCell ref="K57:K58"/>
    <mergeCell ref="L57:L58"/>
    <mergeCell ref="M57:M58"/>
    <mergeCell ref="J50:J53"/>
    <mergeCell ref="H37:H40"/>
    <mergeCell ref="J45:J47"/>
    <mergeCell ref="K50:K53"/>
    <mergeCell ref="L50:L53"/>
    <mergeCell ref="M50:M53"/>
    <mergeCell ref="B365:H365"/>
    <mergeCell ref="L45:L47"/>
    <mergeCell ref="M45:M47"/>
    <mergeCell ref="C238:C307"/>
    <mergeCell ref="F358:F359"/>
    <mergeCell ref="E357:E359"/>
    <mergeCell ref="F292:F295"/>
    <mergeCell ref="F288:F291"/>
    <mergeCell ref="E246:E248"/>
    <mergeCell ref="F282:F284"/>
    <mergeCell ref="E256:E287"/>
    <mergeCell ref="E309:E356"/>
    <mergeCell ref="F299:F300"/>
    <mergeCell ref="E288:E300"/>
    <mergeCell ref="D357:D360"/>
    <mergeCell ref="D309:D356"/>
    <mergeCell ref="F301:F304"/>
    <mergeCell ref="M61:M64"/>
    <mergeCell ref="E301:E305"/>
    <mergeCell ref="D301:D305"/>
    <mergeCell ref="C134:C143"/>
    <mergeCell ref="E134:E143"/>
    <mergeCell ref="F134:F143"/>
    <mergeCell ref="J57:J58"/>
    <mergeCell ref="H145:H146"/>
    <mergeCell ref="J145:J146"/>
    <mergeCell ref="F88:F97"/>
    <mergeCell ref="F98:F121"/>
    <mergeCell ref="E67:E123"/>
    <mergeCell ref="D67:D123"/>
    <mergeCell ref="X68:X84"/>
    <mergeCell ref="N145:N146"/>
    <mergeCell ref="S98:S117"/>
    <mergeCell ref="H42:H132"/>
    <mergeCell ref="D127:D132"/>
    <mergeCell ref="E127:E132"/>
    <mergeCell ref="T98:T117"/>
    <mergeCell ref="U98:U117"/>
    <mergeCell ref="N57:N58"/>
    <mergeCell ref="U45:U47"/>
    <mergeCell ref="J98:J117"/>
    <mergeCell ref="K98:K117"/>
    <mergeCell ref="L98:L117"/>
    <mergeCell ref="M98:M117"/>
    <mergeCell ref="N98:N117"/>
    <mergeCell ref="O98:O117"/>
    <mergeCell ref="Q98:Q117"/>
    <mergeCell ref="J68:J84"/>
    <mergeCell ref="F362:F363"/>
    <mergeCell ref="CB13:CN13"/>
    <mergeCell ref="D15:D17"/>
    <mergeCell ref="CI16:CI46"/>
    <mergeCell ref="CK16:CK46"/>
    <mergeCell ref="CL16:CL46"/>
    <mergeCell ref="CN16:CN46"/>
    <mergeCell ref="BW16:BW46"/>
    <mergeCell ref="L32:L34"/>
    <mergeCell ref="M32:M34"/>
    <mergeCell ref="N32:N34"/>
    <mergeCell ref="O32:O34"/>
    <mergeCell ref="Q32:Q34"/>
    <mergeCell ref="R32:R34"/>
    <mergeCell ref="S32:S34"/>
    <mergeCell ref="T32:T34"/>
    <mergeCell ref="U32:U34"/>
    <mergeCell ref="V32:V34"/>
    <mergeCell ref="X32:X34"/>
    <mergeCell ref="Y32:Y34"/>
    <mergeCell ref="Z32:Z34"/>
    <mergeCell ref="AA32:AA34"/>
    <mergeCell ref="CB16:CB46"/>
    <mergeCell ref="BN13:BZ13"/>
    <mergeCell ref="BX16:BX46"/>
    <mergeCell ref="CC16:CC46"/>
    <mergeCell ref="CE16:CE46"/>
    <mergeCell ref="CF16:CF46"/>
    <mergeCell ref="CH16:CH46"/>
    <mergeCell ref="BN16:BN46"/>
    <mergeCell ref="BO16:BO46"/>
    <mergeCell ref="BQ16:BQ46"/>
    <mergeCell ref="BR16:BR46"/>
    <mergeCell ref="BT16:BT46"/>
    <mergeCell ref="BZ16:BZ46"/>
    <mergeCell ref="BU16:BU46"/>
    <mergeCell ref="AX16:AX46"/>
    <mergeCell ref="J13:AJ13"/>
    <mergeCell ref="AL13:AX13"/>
    <mergeCell ref="Y14:Z14"/>
    <mergeCell ref="AF14:AG14"/>
    <mergeCell ref="K18:K21"/>
    <mergeCell ref="L18:L21"/>
    <mergeCell ref="M18:M21"/>
    <mergeCell ref="AB32:AB34"/>
    <mergeCell ref="AC32:AC34"/>
    <mergeCell ref="AE32:AE34"/>
    <mergeCell ref="AF32:AF34"/>
    <mergeCell ref="AG32:AG34"/>
    <mergeCell ref="AH32:AH34"/>
    <mergeCell ref="AI32:AI34"/>
    <mergeCell ref="S18:S21"/>
    <mergeCell ref="T18:T21"/>
    <mergeCell ref="J32:J34"/>
    <mergeCell ref="K32:K34"/>
    <mergeCell ref="N18:N21"/>
    <mergeCell ref="AE18:AE21"/>
    <mergeCell ref="AJ16:AJ46"/>
    <mergeCell ref="AH45:AH47"/>
    <mergeCell ref="AI45:AI47"/>
    <mergeCell ref="AS16:AS46"/>
    <mergeCell ref="AU16:AU46"/>
    <mergeCell ref="AV16:AV46"/>
    <mergeCell ref="AI54:AI55"/>
    <mergeCell ref="N61:N64"/>
    <mergeCell ref="O61:O64"/>
    <mergeCell ref="Q61:Q64"/>
    <mergeCell ref="R61:R64"/>
    <mergeCell ref="S61:S64"/>
    <mergeCell ref="T61:T64"/>
    <mergeCell ref="U61:U64"/>
    <mergeCell ref="AR16:AR46"/>
    <mergeCell ref="N45:N47"/>
    <mergeCell ref="O45:O47"/>
    <mergeCell ref="Q45:Q47"/>
    <mergeCell ref="R45:R47"/>
    <mergeCell ref="S45:S47"/>
    <mergeCell ref="T45:T47"/>
    <mergeCell ref="U48:U49"/>
    <mergeCell ref="AB61:AB64"/>
    <mergeCell ref="U18:U21"/>
    <mergeCell ref="O18:O21"/>
    <mergeCell ref="Q18:Q21"/>
    <mergeCell ref="R18:R21"/>
    <mergeCell ref="AL47:AL49"/>
    <mergeCell ref="AF18:AF21"/>
    <mergeCell ref="AG18:AG21"/>
    <mergeCell ref="AH18:AH21"/>
    <mergeCell ref="AI18:AI21"/>
    <mergeCell ref="V18:V21"/>
    <mergeCell ref="X18:X21"/>
    <mergeCell ref="Y18:Y21"/>
    <mergeCell ref="Z18:Z21"/>
    <mergeCell ref="X48:X49"/>
    <mergeCell ref="Y48:Y49"/>
    <mergeCell ref="Z48:Z49"/>
    <mergeCell ref="AA48:AA49"/>
    <mergeCell ref="AC48:AC49"/>
    <mergeCell ref="AC18:AC21"/>
    <mergeCell ref="AA18:AA21"/>
    <mergeCell ref="AB18:AB21"/>
    <mergeCell ref="AA45:AA47"/>
    <mergeCell ref="V45:V47"/>
    <mergeCell ref="AH48:AH49"/>
    <mergeCell ref="AI48:AI49"/>
    <mergeCell ref="AC45:AC47"/>
    <mergeCell ref="AG45:AG47"/>
    <mergeCell ref="Z45:Z47"/>
    <mergeCell ref="AI50:AI53"/>
    <mergeCell ref="V48:V49"/>
    <mergeCell ref="AH57:AH58"/>
    <mergeCell ref="V61:V64"/>
    <mergeCell ref="AO134:AO139"/>
    <mergeCell ref="AP134:AP139"/>
    <mergeCell ref="AJ134:AJ139"/>
    <mergeCell ref="AL134:AL139"/>
    <mergeCell ref="AG61:AG64"/>
    <mergeCell ref="AH61:AH64"/>
    <mergeCell ref="AI61:AI64"/>
    <mergeCell ref="AH68:AH84"/>
    <mergeCell ref="AI68:AI84"/>
    <mergeCell ref="AM134:AM139"/>
    <mergeCell ref="AH92:AH97"/>
    <mergeCell ref="AI92:AI97"/>
    <mergeCell ref="V98:V117"/>
    <mergeCell ref="X98:X117"/>
    <mergeCell ref="Y98:Y117"/>
    <mergeCell ref="Z98:Z117"/>
    <mergeCell ref="AA98:AA117"/>
    <mergeCell ref="AE98:AE117"/>
    <mergeCell ref="AF98:AF117"/>
    <mergeCell ref="AG98:AG117"/>
    <mergeCell ref="BA134:BA139"/>
    <mergeCell ref="BC134:BC139"/>
    <mergeCell ref="BA47:BA49"/>
    <mergeCell ref="BC47:BC49"/>
    <mergeCell ref="BD134:BD139"/>
    <mergeCell ref="BF134:BF139"/>
    <mergeCell ref="AU134:AU139"/>
    <mergeCell ref="AV134:AV139"/>
    <mergeCell ref="AX134:AX139"/>
    <mergeCell ref="AU47:AU49"/>
    <mergeCell ref="AV47:AV49"/>
    <mergeCell ref="AZ47:AZ49"/>
    <mergeCell ref="AZ134:AZ139"/>
    <mergeCell ref="BG47:BG49"/>
    <mergeCell ref="BN47:BN49"/>
    <mergeCell ref="BI47:BI49"/>
    <mergeCell ref="BJ47:BJ49"/>
    <mergeCell ref="BO47:BO49"/>
    <mergeCell ref="AM47:AM49"/>
    <mergeCell ref="AO47:AO49"/>
    <mergeCell ref="AP47:AP49"/>
    <mergeCell ref="AR47:AR49"/>
    <mergeCell ref="AS47:AS49"/>
    <mergeCell ref="BD47:BD49"/>
    <mergeCell ref="BF47:BF49"/>
    <mergeCell ref="CN134:CN139"/>
    <mergeCell ref="BZ134:BZ139"/>
    <mergeCell ref="CB134:CB139"/>
    <mergeCell ref="CC134:CC139"/>
    <mergeCell ref="CE134:CE139"/>
    <mergeCell ref="CF134:CF139"/>
    <mergeCell ref="CH134:CH139"/>
    <mergeCell ref="BQ134:BQ139"/>
    <mergeCell ref="BT47:BT49"/>
    <mergeCell ref="BU47:BU49"/>
    <mergeCell ref="BW47:BW49"/>
    <mergeCell ref="BR47:BR49"/>
    <mergeCell ref="BQ47:BQ49"/>
    <mergeCell ref="CI47:CI49"/>
    <mergeCell ref="CK47:CK49"/>
    <mergeCell ref="CL47:CL49"/>
    <mergeCell ref="BX47:BX49"/>
    <mergeCell ref="CB47:CB49"/>
    <mergeCell ref="CC47:CC49"/>
    <mergeCell ref="CE47:CE49"/>
    <mergeCell ref="CF47:CF49"/>
    <mergeCell ref="CH47:CH49"/>
    <mergeCell ref="BG134:BG139"/>
    <mergeCell ref="BI134:BI139"/>
    <mergeCell ref="BJ134:BJ139"/>
    <mergeCell ref="BL134:BL139"/>
    <mergeCell ref="BN134:BN139"/>
    <mergeCell ref="BO134:BO139"/>
    <mergeCell ref="CK134:CK139"/>
    <mergeCell ref="CL134:CL139"/>
    <mergeCell ref="AJ140:AJ171"/>
    <mergeCell ref="AL140:AL171"/>
    <mergeCell ref="AM140:AM171"/>
    <mergeCell ref="AO140:AO171"/>
    <mergeCell ref="AP140:AP171"/>
    <mergeCell ref="BA140:BA171"/>
    <mergeCell ref="BC140:BC171"/>
    <mergeCell ref="BD140:BD171"/>
    <mergeCell ref="BR134:BR139"/>
    <mergeCell ref="BT134:BT139"/>
    <mergeCell ref="BU134:BU139"/>
    <mergeCell ref="BW134:BW139"/>
    <mergeCell ref="BX134:BX139"/>
    <mergeCell ref="CI134:CI139"/>
    <mergeCell ref="AR134:AR139"/>
    <mergeCell ref="AS134:AS139"/>
    <mergeCell ref="BF140:BF171"/>
    <mergeCell ref="BG140:BG171"/>
    <mergeCell ref="BI140:BI171"/>
    <mergeCell ref="AR140:AR171"/>
    <mergeCell ref="AS140:AS171"/>
    <mergeCell ref="AU140:AU171"/>
    <mergeCell ref="AV140:AV171"/>
    <mergeCell ref="AX140:AX171"/>
    <mergeCell ref="AZ140:AZ171"/>
    <mergeCell ref="BJ140:BJ171"/>
    <mergeCell ref="BL140:BL171"/>
    <mergeCell ref="BN140:BN171"/>
    <mergeCell ref="BO140:BO171"/>
    <mergeCell ref="BQ140:BQ171"/>
    <mergeCell ref="BR140:BR171"/>
    <mergeCell ref="BT140:BT171"/>
    <mergeCell ref="BU140:BU171"/>
    <mergeCell ref="BW140:BW171"/>
    <mergeCell ref="BX140:BX171"/>
    <mergeCell ref="BZ140:BZ171"/>
    <mergeCell ref="CB140:CB171"/>
    <mergeCell ref="CH182:CH200"/>
    <mergeCell ref="CI182:CI200"/>
    <mergeCell ref="CK182:CK200"/>
    <mergeCell ref="CN140:CN171"/>
    <mergeCell ref="CC140:CC171"/>
    <mergeCell ref="CE140:CE171"/>
    <mergeCell ref="CF140:CF171"/>
    <mergeCell ref="CH140:CH171"/>
    <mergeCell ref="CI140:CI171"/>
    <mergeCell ref="CK140:CK171"/>
    <mergeCell ref="CL140:CL171"/>
    <mergeCell ref="AM209:AM217"/>
    <mergeCell ref="AO209:AO217"/>
    <mergeCell ref="BO182:BO200"/>
    <mergeCell ref="BQ182:BQ200"/>
    <mergeCell ref="BR182:BR200"/>
    <mergeCell ref="BT182:BT200"/>
    <mergeCell ref="CL182:CL200"/>
    <mergeCell ref="BU182:BU200"/>
    <mergeCell ref="BW182:BW200"/>
    <mergeCell ref="BX182:BX200"/>
    <mergeCell ref="CB182:CB200"/>
    <mergeCell ref="CC182:CC200"/>
    <mergeCell ref="CE182:CE200"/>
    <mergeCell ref="CF182:CF200"/>
    <mergeCell ref="BR209:BR217"/>
    <mergeCell ref="BN182:BN200"/>
    <mergeCell ref="BT209:BT217"/>
    <mergeCell ref="BU209:BU217"/>
    <mergeCell ref="BG209:BG217"/>
    <mergeCell ref="BI209:BI217"/>
    <mergeCell ref="AJ209:AJ217"/>
    <mergeCell ref="BL209:BL217"/>
    <mergeCell ref="AU209:AU217"/>
    <mergeCell ref="AV209:AV217"/>
    <mergeCell ref="AX209:AX217"/>
    <mergeCell ref="AZ209:AZ217"/>
    <mergeCell ref="BA209:BA217"/>
    <mergeCell ref="AP182:AP200"/>
    <mergeCell ref="AR182:AR200"/>
    <mergeCell ref="AS182:AS200"/>
    <mergeCell ref="AU182:AU200"/>
    <mergeCell ref="AV182:AV200"/>
    <mergeCell ref="AZ182:AZ200"/>
    <mergeCell ref="BA182:BA200"/>
    <mergeCell ref="BC182:BC200"/>
    <mergeCell ref="BD182:BD200"/>
    <mergeCell ref="BF182:BF200"/>
    <mergeCell ref="BG182:BG200"/>
    <mergeCell ref="BI182:BI200"/>
    <mergeCell ref="BJ182:BJ200"/>
    <mergeCell ref="BC209:BC217"/>
    <mergeCell ref="AL209:AL217"/>
    <mergeCell ref="BD209:BD217"/>
    <mergeCell ref="BF209:BF217"/>
    <mergeCell ref="BU218:BU220"/>
    <mergeCell ref="BW218:BW220"/>
    <mergeCell ref="AP209:AP217"/>
    <mergeCell ref="AR209:AR217"/>
    <mergeCell ref="AS209:AS217"/>
    <mergeCell ref="AL182:AL200"/>
    <mergeCell ref="AM182:AM200"/>
    <mergeCell ref="AO182:AO200"/>
    <mergeCell ref="CN209:CN217"/>
    <mergeCell ref="BW209:BW217"/>
    <mergeCell ref="BX209:BX217"/>
    <mergeCell ref="BZ209:BZ217"/>
    <mergeCell ref="CB209:CB217"/>
    <mergeCell ref="CC209:CC217"/>
    <mergeCell ref="CE209:CE217"/>
    <mergeCell ref="BJ209:BJ217"/>
    <mergeCell ref="CF209:CF217"/>
    <mergeCell ref="CH209:CH217"/>
    <mergeCell ref="CI209:CI217"/>
    <mergeCell ref="CK209:CK217"/>
    <mergeCell ref="CL209:CL217"/>
    <mergeCell ref="BN209:BN217"/>
    <mergeCell ref="BO209:BO217"/>
    <mergeCell ref="BQ209:BQ217"/>
    <mergeCell ref="BX218:BX220"/>
    <mergeCell ref="BZ218:BZ220"/>
    <mergeCell ref="CB218:CB220"/>
    <mergeCell ref="CH239:CH241"/>
    <mergeCell ref="CI239:CI241"/>
    <mergeCell ref="CK239:CK241"/>
    <mergeCell ref="CN218:CN220"/>
    <mergeCell ref="CC218:CC220"/>
    <mergeCell ref="CE218:CE220"/>
    <mergeCell ref="CF218:CF220"/>
    <mergeCell ref="CH218:CH220"/>
    <mergeCell ref="CI218:CI220"/>
    <mergeCell ref="CK218:CK220"/>
    <mergeCell ref="CL218:CL220"/>
    <mergeCell ref="AU244:AU246"/>
    <mergeCell ref="AV244:AV246"/>
    <mergeCell ref="AU239:AU241"/>
    <mergeCell ref="AV239:AV241"/>
    <mergeCell ref="AZ239:AZ241"/>
    <mergeCell ref="CL239:CL241"/>
    <mergeCell ref="BU239:BU241"/>
    <mergeCell ref="BW239:BW241"/>
    <mergeCell ref="BX239:BX241"/>
    <mergeCell ref="CB239:CB241"/>
    <mergeCell ref="CC239:CC241"/>
    <mergeCell ref="CE239:CE241"/>
    <mergeCell ref="CF239:CF241"/>
    <mergeCell ref="BD239:BD241"/>
    <mergeCell ref="BF239:BF241"/>
    <mergeCell ref="BA239:BA241"/>
    <mergeCell ref="BC239:BC241"/>
    <mergeCell ref="BD244:BD246"/>
    <mergeCell ref="BJ244:BJ246"/>
    <mergeCell ref="BN244:BN246"/>
    <mergeCell ref="BO244:BO246"/>
    <mergeCell ref="BG239:BG241"/>
    <mergeCell ref="BT239:BT241"/>
    <mergeCell ref="BR244:BR246"/>
    <mergeCell ref="AR218:AR220"/>
    <mergeCell ref="AS218:AS220"/>
    <mergeCell ref="AU218:AU220"/>
    <mergeCell ref="AV218:AV220"/>
    <mergeCell ref="AX218:AX220"/>
    <mergeCell ref="AM218:AM220"/>
    <mergeCell ref="AO218:AO220"/>
    <mergeCell ref="AP218:AP220"/>
    <mergeCell ref="BA218:BA220"/>
    <mergeCell ref="AZ218:AZ220"/>
    <mergeCell ref="BC218:BC220"/>
    <mergeCell ref="BD218:BD220"/>
    <mergeCell ref="BF218:BF220"/>
    <mergeCell ref="BJ218:BJ220"/>
    <mergeCell ref="BL218:BL220"/>
    <mergeCell ref="BN218:BN220"/>
    <mergeCell ref="BO218:BO220"/>
    <mergeCell ref="BQ218:BQ220"/>
    <mergeCell ref="BR218:BR220"/>
    <mergeCell ref="BG218:BG220"/>
    <mergeCell ref="BI218:BI220"/>
    <mergeCell ref="BT218:BT220"/>
    <mergeCell ref="AZ244:AZ246"/>
    <mergeCell ref="AS239:AS241"/>
    <mergeCell ref="CN309:CN354"/>
    <mergeCell ref="BW309:BW354"/>
    <mergeCell ref="BX309:BX354"/>
    <mergeCell ref="BZ309:BZ354"/>
    <mergeCell ref="CB309:CB354"/>
    <mergeCell ref="CC309:CC354"/>
    <mergeCell ref="CE309:CE354"/>
    <mergeCell ref="CF309:CF354"/>
    <mergeCell ref="BT244:BT246"/>
    <mergeCell ref="CK244:CK246"/>
    <mergeCell ref="CC244:CC246"/>
    <mergeCell ref="CE244:CE246"/>
    <mergeCell ref="CF244:CF246"/>
    <mergeCell ref="CH244:CH246"/>
    <mergeCell ref="CI244:CI246"/>
    <mergeCell ref="CL244:CL246"/>
    <mergeCell ref="CB244:CB246"/>
    <mergeCell ref="CI309:CI354"/>
    <mergeCell ref="BU309:BU354"/>
    <mergeCell ref="BD309:BD354"/>
    <mergeCell ref="BR239:BR241"/>
    <mergeCell ref="BF244:BF246"/>
    <mergeCell ref="CK309:CK354"/>
    <mergeCell ref="CL309:CL354"/>
    <mergeCell ref="CH309:CH354"/>
    <mergeCell ref="BN309:BN354"/>
    <mergeCell ref="BO309:BO354"/>
    <mergeCell ref="BQ309:BQ354"/>
    <mergeCell ref="BR309:BR354"/>
    <mergeCell ref="BT309:BT354"/>
    <mergeCell ref="BI309:BI354"/>
    <mergeCell ref="BJ309:BJ354"/>
    <mergeCell ref="BL309:BL354"/>
    <mergeCell ref="AZ309:AZ354"/>
    <mergeCell ref="AJ309:AJ354"/>
    <mergeCell ref="AL309:AL354"/>
    <mergeCell ref="AM309:AM354"/>
    <mergeCell ref="AO309:AO354"/>
    <mergeCell ref="AP309:AP354"/>
    <mergeCell ref="AR309:AR354"/>
    <mergeCell ref="BF309:BF354"/>
    <mergeCell ref="BG309:BG354"/>
    <mergeCell ref="BA309:BA354"/>
    <mergeCell ref="BC309:BC354"/>
    <mergeCell ref="AS309:AS354"/>
    <mergeCell ref="AU309:AU354"/>
    <mergeCell ref="AV309:AV354"/>
    <mergeCell ref="AX309:AX354"/>
    <mergeCell ref="AL239:AL241"/>
    <mergeCell ref="AM239:AM241"/>
    <mergeCell ref="AO239:AO241"/>
    <mergeCell ref="AP244:AP246"/>
    <mergeCell ref="AR244:AR246"/>
    <mergeCell ref="BU244:BU246"/>
    <mergeCell ref="BW244:BW246"/>
    <mergeCell ref="BX244:BX246"/>
    <mergeCell ref="AS244:AS246"/>
    <mergeCell ref="BJ239:BJ241"/>
    <mergeCell ref="BN239:BN241"/>
    <mergeCell ref="BO239:BO241"/>
    <mergeCell ref="BQ244:BQ246"/>
    <mergeCell ref="BI239:BI241"/>
    <mergeCell ref="BG244:BG246"/>
    <mergeCell ref="BI244:BI246"/>
    <mergeCell ref="AL244:AL246"/>
    <mergeCell ref="AM244:AM246"/>
    <mergeCell ref="AO244:AO246"/>
    <mergeCell ref="BQ239:BQ241"/>
    <mergeCell ref="BA244:BA246"/>
    <mergeCell ref="BC244:BC246"/>
    <mergeCell ref="AP239:AP241"/>
    <mergeCell ref="AR239:AR241"/>
    <mergeCell ref="AJ218:AJ220"/>
    <mergeCell ref="AF145:AF146"/>
    <mergeCell ref="AG145:AG146"/>
    <mergeCell ref="AH145:AH146"/>
    <mergeCell ref="AI145:AI146"/>
    <mergeCell ref="AL218:AL220"/>
    <mergeCell ref="F15:F17"/>
    <mergeCell ref="J18:J21"/>
    <mergeCell ref="C15:C17"/>
    <mergeCell ref="C18:C22"/>
    <mergeCell ref="D18:D22"/>
    <mergeCell ref="E18:E22"/>
    <mergeCell ref="H15:H35"/>
    <mergeCell ref="G62:G64"/>
    <mergeCell ref="E61:E66"/>
    <mergeCell ref="D61:D66"/>
    <mergeCell ref="G48:G49"/>
    <mergeCell ref="J48:J49"/>
    <mergeCell ref="J54:J55"/>
    <mergeCell ref="C41:C59"/>
    <mergeCell ref="D41:D59"/>
    <mergeCell ref="E41:E59"/>
    <mergeCell ref="F41:F59"/>
    <mergeCell ref="K61:K64"/>
    <mergeCell ref="C144:C147"/>
    <mergeCell ref="D362:D363"/>
    <mergeCell ref="B308:H308"/>
    <mergeCell ref="B309:B363"/>
    <mergeCell ref="B209:B307"/>
    <mergeCell ref="D238:D241"/>
    <mergeCell ref="C215:C217"/>
    <mergeCell ref="D215:D217"/>
    <mergeCell ref="C221:C222"/>
    <mergeCell ref="D221:D222"/>
    <mergeCell ref="E221:E222"/>
    <mergeCell ref="F221:F222"/>
    <mergeCell ref="F309:F312"/>
    <mergeCell ref="F313:F330"/>
    <mergeCell ref="F331:F354"/>
    <mergeCell ref="D288:D300"/>
    <mergeCell ref="C309:C363"/>
    <mergeCell ref="D144:D147"/>
    <mergeCell ref="E144:E147"/>
    <mergeCell ref="H315:H320"/>
    <mergeCell ref="C223:C235"/>
    <mergeCell ref="C212:C214"/>
    <mergeCell ref="E172:E181"/>
    <mergeCell ref="C166:C171"/>
    <mergeCell ref="C209:C210"/>
    <mergeCell ref="D209:D210"/>
    <mergeCell ref="D256:D287"/>
    <mergeCell ref="D246:D248"/>
    <mergeCell ref="F262:F276"/>
    <mergeCell ref="F277:F279"/>
    <mergeCell ref="F280:F281"/>
    <mergeCell ref="E223:E235"/>
    <mergeCell ref="F223:F235"/>
    <mergeCell ref="F286:F287"/>
    <mergeCell ref="F254:F255"/>
    <mergeCell ref="D250:D255"/>
    <mergeCell ref="E250:E255"/>
    <mergeCell ref="E238:E243"/>
    <mergeCell ref="F238:F243"/>
    <mergeCell ref="K228:K229"/>
    <mergeCell ref="L228:L229"/>
    <mergeCell ref="M228:M229"/>
    <mergeCell ref="N228:N229"/>
    <mergeCell ref="O228:O229"/>
    <mergeCell ref="R228:R229"/>
    <mergeCell ref="S228:S229"/>
    <mergeCell ref="T228:T229"/>
    <mergeCell ref="U228:U229"/>
    <mergeCell ref="G239:G241"/>
    <mergeCell ref="K239:K241"/>
    <mergeCell ref="AI239:AI241"/>
    <mergeCell ref="V239:V241"/>
    <mergeCell ref="Y239:Y241"/>
    <mergeCell ref="Z239:Z241"/>
    <mergeCell ref="AA239:AA241"/>
    <mergeCell ref="AB239:AB241"/>
    <mergeCell ref="AC239:AC241"/>
    <mergeCell ref="AF239:AF241"/>
    <mergeCell ref="AG239:AG241"/>
    <mergeCell ref="AH239:AH241"/>
    <mergeCell ref="U239:U241"/>
    <mergeCell ref="M239:M241"/>
    <mergeCell ref="N239:N241"/>
    <mergeCell ref="V228:V229"/>
    <mergeCell ref="Y228:Y229"/>
    <mergeCell ref="Z228:Z229"/>
    <mergeCell ref="AA228:AA229"/>
    <mergeCell ref="O239:O241"/>
    <mergeCell ref="R239:R241"/>
    <mergeCell ref="S239:S241"/>
    <mergeCell ref="T239:T241"/>
    <mergeCell ref="AI228:AI229"/>
    <mergeCell ref="AH98:AH117"/>
    <mergeCell ref="AI98:AI117"/>
    <mergeCell ref="AB98:AB117"/>
    <mergeCell ref="AC98:AC117"/>
    <mergeCell ref="AB228:AB229"/>
    <mergeCell ref="AC228:AC229"/>
    <mergeCell ref="AF228:AF229"/>
    <mergeCell ref="AG228:AG229"/>
    <mergeCell ref="AH228:AH229"/>
    <mergeCell ref="D183:D195"/>
    <mergeCell ref="E199:E204"/>
    <mergeCell ref="D199:D204"/>
    <mergeCell ref="E209:E210"/>
    <mergeCell ref="F209:F210"/>
    <mergeCell ref="E196:E198"/>
    <mergeCell ref="D196:D198"/>
    <mergeCell ref="F125:F126"/>
    <mergeCell ref="E124:E126"/>
    <mergeCell ref="F130:F131"/>
    <mergeCell ref="D166:D171"/>
    <mergeCell ref="E166:E171"/>
    <mergeCell ref="D159:D162"/>
  </mergeCells>
  <conditionalFormatting sqref="AR218:AR243 AU209:AU238 BF218:BF243 BI209:BI238 BT218:BT243 BW209:BW238 CH218:CH243 CK209:CK238 AO218:AO243 BC218:BC243 BQ218:BQ243 CE218:CE243 AU309:AU363 BI309:BI363 BW309:BW363 CK309:CK363 AL309:AL363 AZ309:AZ363 BN309:BN363 CB309:CB363 BC16:BC72 AL16:AL72 AR16:AR72 AZ16:AZ72 BF16:BF72 BI16:BI72 BN16:BN72 BT16:BT72 CB16:CB72 CH16:CH72 AO16:AO72 BQ16:BQ72 CE16:CE72 AU16:AU72 BW16:BW72 CK16:CK72 AR140:AR207 AU140:AU207 AL140:AL207 AO140:AO207 BC140:BC207 AZ140:AZ207 BF140:BF207 BI134:BI207 CB140:CB207 BQ140:BQ207 BN140:BN207 BT140:BT207 BW134:BW207 CE140:CE207 CH140:CH207 CK134:CK207 AL218:AL307 AZ218:AZ307 BN218:BN307 CB218:CB307">
    <cfRule type="expression" dxfId="13030" priority="35110" stopIfTrue="1">
      <formula>AND(IF(AL16&gt;=#REF!,AL16&lt;&gt;"N/A"))</formula>
    </cfRule>
    <cfRule type="expression" dxfId="13029" priority="35111" stopIfTrue="1">
      <formula>AND(IF(AL16&lt;#REF!,AL16&gt;=#REF!,AL16&lt;&gt;"N/A"))</formula>
    </cfRule>
    <cfRule type="expression" dxfId="13028" priority="35112" stopIfTrue="1">
      <formula>AND(IF(AL16&lt;#REF!,AL16&lt;&gt;"N/A"))</formula>
    </cfRule>
  </conditionalFormatting>
  <conditionalFormatting sqref="AR209:AR217 AO209:AO217 BF209:BF217 BC209:BC217 BT209:BT217 BQ209:BQ217 CH209:CH217 CE209:CE217">
    <cfRule type="expression" dxfId="13027" priority="35104" stopIfTrue="1">
      <formula>AND(IF(AO209&gt;=#REF!,AO209&lt;&gt;"N/A"))</formula>
    </cfRule>
    <cfRule type="expression" dxfId="13026" priority="35105" stopIfTrue="1">
      <formula>AND(IF(AO209&lt;#REF!,AO209&gt;=#REF!,AO209&lt;&gt;"N/A"))</formula>
    </cfRule>
    <cfRule type="expression" dxfId="13025" priority="35106" stopIfTrue="1">
      <formula>AND(IF(AO209&lt;#REF!,AO209&lt;&gt;"N/A"))</formula>
    </cfRule>
  </conditionalFormatting>
  <conditionalFormatting sqref="AL15">
    <cfRule type="expression" dxfId="13024" priority="35101" stopIfTrue="1">
      <formula>AND(IF(AL15&gt;=#REF!,AL15&lt;&gt;"N/A"))</formula>
    </cfRule>
    <cfRule type="expression" dxfId="13023" priority="35102" stopIfTrue="1">
      <formula>AND(IF(AL15&lt;#REF!,AL15&gt;=#REF!,AL15&lt;&gt;"N/A"))</formula>
    </cfRule>
    <cfRule type="expression" dxfId="13022" priority="35103" stopIfTrue="1">
      <formula>AND(IF(AL15&lt;#REF!,AL15&lt;&gt;"N/A"))</formula>
    </cfRule>
  </conditionalFormatting>
  <conditionalFormatting sqref="AU239:AU243">
    <cfRule type="expression" dxfId="13021" priority="35098" stopIfTrue="1">
      <formula>AND(IF(AU239&gt;=#REF!,AU239&lt;&gt;"N/A"))</formula>
    </cfRule>
    <cfRule type="expression" dxfId="13020" priority="35099" stopIfTrue="1">
      <formula>AND(IF(AU239&lt;#REF!,AU239&gt;=#REF!,AU239&lt;&gt;"N/A"))</formula>
    </cfRule>
    <cfRule type="expression" dxfId="13019" priority="35100" stopIfTrue="1">
      <formula>AND(IF(AU239&lt;#REF!,AU239&lt;&gt;"N/A"))</formula>
    </cfRule>
  </conditionalFormatting>
  <conditionalFormatting sqref="AL209:AL217">
    <cfRule type="expression" dxfId="13018" priority="35092" stopIfTrue="1">
      <formula>AND(IF(AL209&gt;=#REF!,AL209&lt;&gt;"N/A"))</formula>
    </cfRule>
    <cfRule type="expression" dxfId="13017" priority="35093" stopIfTrue="1">
      <formula>AND(IF(AL209&lt;#REF!,AL209&gt;=#REF!,AL209&lt;&gt;"N/A"))</formula>
    </cfRule>
    <cfRule type="expression" dxfId="13016" priority="35094" stopIfTrue="1">
      <formula>AND(IF(AL209&lt;#REF!,AL209&lt;&gt;"N/A"))</formula>
    </cfRule>
  </conditionalFormatting>
  <conditionalFormatting sqref="AL134:AL139">
    <cfRule type="expression" dxfId="13015" priority="35086" stopIfTrue="1">
      <formula>AND(IF(AL134&gt;=#REF!,AL134&lt;&gt;"N/A"))</formula>
    </cfRule>
    <cfRule type="expression" dxfId="13014" priority="35087" stopIfTrue="1">
      <formula>AND(IF(AL134&lt;#REF!,AL134&gt;=#REF!,AL134&lt;&gt;"N/A"))</formula>
    </cfRule>
    <cfRule type="expression" dxfId="13013" priority="35088" stopIfTrue="1">
      <formula>AND(IF(AL134&lt;#REF!,AL134&lt;&gt;"N/A"))</formula>
    </cfRule>
  </conditionalFormatting>
  <conditionalFormatting sqref="AU15">
    <cfRule type="expression" dxfId="13012" priority="35083" stopIfTrue="1">
      <formula>AND(IF(AU15&gt;=#REF!,AU15&lt;&gt;"N/A"))</formula>
    </cfRule>
    <cfRule type="expression" dxfId="13011" priority="35084" stopIfTrue="1">
      <formula>AND(IF(AU15&lt;#REF!,AU15&gt;=#REF!,AU15&lt;&gt;"N/A"))</formula>
    </cfRule>
    <cfRule type="expression" dxfId="13010" priority="35085" stopIfTrue="1">
      <formula>AND(IF(AU15&lt;#REF!,AU15&lt;&gt;"N/A"))</formula>
    </cfRule>
  </conditionalFormatting>
  <conditionalFormatting sqref="AO134:AO139">
    <cfRule type="expression" dxfId="13009" priority="35080" stopIfTrue="1">
      <formula>AND(IF(AO134&gt;=#REF!,AO134&lt;&gt;"N/A"))</formula>
    </cfRule>
    <cfRule type="expression" dxfId="13008" priority="35081" stopIfTrue="1">
      <formula>AND(IF(AO134&lt;#REF!,AO134&gt;=#REF!,AO134&lt;&gt;"N/A"))</formula>
    </cfRule>
    <cfRule type="expression" dxfId="13007" priority="35082" stopIfTrue="1">
      <formula>AND(IF(AO134&lt;#REF!,AO134&lt;&gt;"N/A"))</formula>
    </cfRule>
  </conditionalFormatting>
  <conditionalFormatting sqref="AR134:AR139">
    <cfRule type="expression" dxfId="13006" priority="35077" stopIfTrue="1">
      <formula>AND(IF(AR134&gt;=#REF!,AR134&lt;&gt;"N/A"))</formula>
    </cfRule>
    <cfRule type="expression" dxfId="13005" priority="35078" stopIfTrue="1">
      <formula>AND(IF(AR134&lt;#REF!,AR134&gt;=#REF!,AR134&lt;&gt;"N/A"))</formula>
    </cfRule>
    <cfRule type="expression" dxfId="13004" priority="35079" stopIfTrue="1">
      <formula>AND(IF(AR134&lt;#REF!,AR134&lt;&gt;"N/A"))</formula>
    </cfRule>
  </conditionalFormatting>
  <conditionalFormatting sqref="AU134:AU139">
    <cfRule type="expression" dxfId="13003" priority="35074" stopIfTrue="1">
      <formula>AND(IF(AU134&gt;=#REF!,AU134&lt;&gt;"N/A"))</formula>
    </cfRule>
    <cfRule type="expression" dxfId="13002" priority="35075" stopIfTrue="1">
      <formula>AND(IF(AU134&lt;#REF!,AU134&gt;=#REF!,AU134&lt;&gt;"N/A"))</formula>
    </cfRule>
    <cfRule type="expression" dxfId="13001" priority="35076" stopIfTrue="1">
      <formula>AND(IF(AU134&lt;#REF!,AU134&lt;&gt;"N/A"))</formula>
    </cfRule>
  </conditionalFormatting>
  <conditionalFormatting sqref="AZ15">
    <cfRule type="expression" dxfId="13000" priority="35071" stopIfTrue="1">
      <formula>AND(IF(AZ15&gt;=#REF!,AZ15&lt;&gt;"N/A"))</formula>
    </cfRule>
    <cfRule type="expression" dxfId="12999" priority="35072" stopIfTrue="1">
      <formula>AND(IF(AZ15&lt;#REF!,AZ15&gt;=#REF!,AZ15&lt;&gt;"N/A"))</formula>
    </cfRule>
    <cfRule type="expression" dxfId="12998" priority="35073" stopIfTrue="1">
      <formula>AND(IF(AZ15&lt;#REF!,AZ15&lt;&gt;"N/A"))</formula>
    </cfRule>
  </conditionalFormatting>
  <conditionalFormatting sqref="BI239:BI243">
    <cfRule type="expression" dxfId="12997" priority="35068" stopIfTrue="1">
      <formula>AND(IF(BI239&gt;=#REF!,BI239&lt;&gt;"N/A"))</formula>
    </cfRule>
    <cfRule type="expression" dxfId="12996" priority="35069" stopIfTrue="1">
      <formula>AND(IF(BI239&lt;#REF!,BI239&gt;=#REF!,BI239&lt;&gt;"N/A"))</formula>
    </cfRule>
    <cfRule type="expression" dxfId="12995" priority="35070" stopIfTrue="1">
      <formula>AND(IF(BI239&lt;#REF!,BI239&lt;&gt;"N/A"))</formula>
    </cfRule>
  </conditionalFormatting>
  <conditionalFormatting sqref="AZ209:AZ217">
    <cfRule type="expression" dxfId="12994" priority="35062" stopIfTrue="1">
      <formula>AND(IF(AZ209&gt;=#REF!,AZ209&lt;&gt;"N/A"))</formula>
    </cfRule>
    <cfRule type="expression" dxfId="12993" priority="35063" stopIfTrue="1">
      <formula>AND(IF(AZ209&lt;#REF!,AZ209&gt;=#REF!,AZ209&lt;&gt;"N/A"))</formula>
    </cfRule>
    <cfRule type="expression" dxfId="12992" priority="35064" stopIfTrue="1">
      <formula>AND(IF(AZ209&lt;#REF!,AZ209&lt;&gt;"N/A"))</formula>
    </cfRule>
  </conditionalFormatting>
  <conditionalFormatting sqref="AZ134:AZ139">
    <cfRule type="expression" dxfId="12991" priority="35056" stopIfTrue="1">
      <formula>AND(IF(AZ134&gt;=#REF!,AZ134&lt;&gt;"N/A"))</formula>
    </cfRule>
    <cfRule type="expression" dxfId="12990" priority="35057" stopIfTrue="1">
      <formula>AND(IF(AZ134&lt;#REF!,AZ134&gt;=#REF!,AZ134&lt;&gt;"N/A"))</formula>
    </cfRule>
    <cfRule type="expression" dxfId="12989" priority="35058" stopIfTrue="1">
      <formula>AND(IF(AZ134&lt;#REF!,AZ134&lt;&gt;"N/A"))</formula>
    </cfRule>
  </conditionalFormatting>
  <conditionalFormatting sqref="BI15">
    <cfRule type="expression" dxfId="12988" priority="35053" stopIfTrue="1">
      <formula>AND(IF(BI15&gt;=#REF!,BI15&lt;&gt;"N/A"))</formula>
    </cfRule>
    <cfRule type="expression" dxfId="12987" priority="35054" stopIfTrue="1">
      <formula>AND(IF(BI15&lt;#REF!,BI15&gt;=#REF!,BI15&lt;&gt;"N/A"))</formula>
    </cfRule>
    <cfRule type="expression" dxfId="12986" priority="35055" stopIfTrue="1">
      <formula>AND(IF(BI15&lt;#REF!,BI15&lt;&gt;"N/A"))</formula>
    </cfRule>
  </conditionalFormatting>
  <conditionalFormatting sqref="BC134:BC139">
    <cfRule type="expression" dxfId="12985" priority="35050" stopIfTrue="1">
      <formula>AND(IF(BC134&gt;=#REF!,BC134&lt;&gt;"N/A"))</formula>
    </cfRule>
    <cfRule type="expression" dxfId="12984" priority="35051" stopIfTrue="1">
      <formula>AND(IF(BC134&lt;#REF!,BC134&gt;=#REF!,BC134&lt;&gt;"N/A"))</formula>
    </cfRule>
    <cfRule type="expression" dxfId="12983" priority="35052" stopIfTrue="1">
      <formula>AND(IF(BC134&lt;#REF!,BC134&lt;&gt;"N/A"))</formula>
    </cfRule>
  </conditionalFormatting>
  <conditionalFormatting sqref="BF134:BF139">
    <cfRule type="expression" dxfId="12982" priority="35047" stopIfTrue="1">
      <formula>AND(IF(BF134&gt;=#REF!,BF134&lt;&gt;"N/A"))</formula>
    </cfRule>
    <cfRule type="expression" dxfId="12981" priority="35048" stopIfTrue="1">
      <formula>AND(IF(BF134&lt;#REF!,BF134&gt;=#REF!,BF134&lt;&gt;"N/A"))</formula>
    </cfRule>
    <cfRule type="expression" dxfId="12980" priority="35049" stopIfTrue="1">
      <formula>AND(IF(BF134&lt;#REF!,BF134&lt;&gt;"N/A"))</formula>
    </cfRule>
  </conditionalFormatting>
  <conditionalFormatting sqref="BN15">
    <cfRule type="expression" dxfId="12979" priority="35044" stopIfTrue="1">
      <formula>AND(IF(BN15&gt;=#REF!,BN15&lt;&gt;"N/A"))</formula>
    </cfRule>
    <cfRule type="expression" dxfId="12978" priority="35045" stopIfTrue="1">
      <formula>AND(IF(BN15&lt;#REF!,BN15&gt;=#REF!,BN15&lt;&gt;"N/A"))</formula>
    </cfRule>
    <cfRule type="expression" dxfId="12977" priority="35046" stopIfTrue="1">
      <formula>AND(IF(BN15&lt;#REF!,BN15&lt;&gt;"N/A"))</formula>
    </cfRule>
  </conditionalFormatting>
  <conditionalFormatting sqref="BW239:BW243">
    <cfRule type="expression" dxfId="12976" priority="35041" stopIfTrue="1">
      <formula>AND(IF(BW239&gt;=#REF!,BW239&lt;&gt;"N/A"))</formula>
    </cfRule>
    <cfRule type="expression" dxfId="12975" priority="35042" stopIfTrue="1">
      <formula>AND(IF(BW239&lt;#REF!,BW239&gt;=#REF!,BW239&lt;&gt;"N/A"))</formula>
    </cfRule>
    <cfRule type="expression" dxfId="12974" priority="35043" stopIfTrue="1">
      <formula>AND(IF(BW239&lt;#REF!,BW239&lt;&gt;"N/A"))</formula>
    </cfRule>
  </conditionalFormatting>
  <conditionalFormatting sqref="BN209:BN217">
    <cfRule type="expression" dxfId="12973" priority="35035" stopIfTrue="1">
      <formula>AND(IF(BN209&gt;=#REF!,BN209&lt;&gt;"N/A"))</formula>
    </cfRule>
    <cfRule type="expression" dxfId="12972" priority="35036" stopIfTrue="1">
      <formula>AND(IF(BN209&lt;#REF!,BN209&gt;=#REF!,BN209&lt;&gt;"N/A"))</formula>
    </cfRule>
    <cfRule type="expression" dxfId="12971" priority="35037" stopIfTrue="1">
      <formula>AND(IF(BN209&lt;#REF!,BN209&lt;&gt;"N/A"))</formula>
    </cfRule>
  </conditionalFormatting>
  <conditionalFormatting sqref="BN134:BN139">
    <cfRule type="expression" dxfId="12970" priority="35029" stopIfTrue="1">
      <formula>AND(IF(BN134&gt;=#REF!,BN134&lt;&gt;"N/A"))</formula>
    </cfRule>
    <cfRule type="expression" dxfId="12969" priority="35030" stopIfTrue="1">
      <formula>AND(IF(BN134&lt;#REF!,BN134&gt;=#REF!,BN134&lt;&gt;"N/A"))</formula>
    </cfRule>
    <cfRule type="expression" dxfId="12968" priority="35031" stopIfTrue="1">
      <formula>AND(IF(BN134&lt;#REF!,BN134&lt;&gt;"N/A"))</formula>
    </cfRule>
  </conditionalFormatting>
  <conditionalFormatting sqref="BW15">
    <cfRule type="expression" dxfId="12967" priority="35026" stopIfTrue="1">
      <formula>AND(IF(BW15&gt;=#REF!,BW15&lt;&gt;"N/A"))</formula>
    </cfRule>
    <cfRule type="expression" dxfId="12966" priority="35027" stopIfTrue="1">
      <formula>AND(IF(BW15&lt;#REF!,BW15&gt;=#REF!,BW15&lt;&gt;"N/A"))</formula>
    </cfRule>
    <cfRule type="expression" dxfId="12965" priority="35028" stopIfTrue="1">
      <formula>AND(IF(BW15&lt;#REF!,BW15&lt;&gt;"N/A"))</formula>
    </cfRule>
  </conditionalFormatting>
  <conditionalFormatting sqref="BQ134:BQ139">
    <cfRule type="expression" dxfId="12964" priority="35023" stopIfTrue="1">
      <formula>AND(IF(BQ134&gt;=#REF!,BQ134&lt;&gt;"N/A"))</formula>
    </cfRule>
    <cfRule type="expression" dxfId="12963" priority="35024" stopIfTrue="1">
      <formula>AND(IF(BQ134&lt;#REF!,BQ134&gt;=#REF!,BQ134&lt;&gt;"N/A"))</formula>
    </cfRule>
    <cfRule type="expression" dxfId="12962" priority="35025" stopIfTrue="1">
      <formula>AND(IF(BQ134&lt;#REF!,BQ134&lt;&gt;"N/A"))</formula>
    </cfRule>
  </conditionalFormatting>
  <conditionalFormatting sqref="BT134:BT139">
    <cfRule type="expression" dxfId="12961" priority="35020" stopIfTrue="1">
      <formula>AND(IF(BT134&gt;=#REF!,BT134&lt;&gt;"N/A"))</formula>
    </cfRule>
    <cfRule type="expression" dxfId="12960" priority="35021" stopIfTrue="1">
      <formula>AND(IF(BT134&lt;#REF!,BT134&gt;=#REF!,BT134&lt;&gt;"N/A"))</formula>
    </cfRule>
    <cfRule type="expression" dxfId="12959" priority="35022" stopIfTrue="1">
      <formula>AND(IF(BT134&lt;#REF!,BT134&lt;&gt;"N/A"))</formula>
    </cfRule>
  </conditionalFormatting>
  <conditionalFormatting sqref="CB15">
    <cfRule type="expression" dxfId="12958" priority="35017" stopIfTrue="1">
      <formula>AND(IF(CB15&gt;=#REF!,CB15&lt;&gt;"N/A"))</formula>
    </cfRule>
    <cfRule type="expression" dxfId="12957" priority="35018" stopIfTrue="1">
      <formula>AND(IF(CB15&lt;#REF!,CB15&gt;=#REF!,CB15&lt;&gt;"N/A"))</formula>
    </cfRule>
    <cfRule type="expression" dxfId="12956" priority="35019" stopIfTrue="1">
      <formula>AND(IF(CB15&lt;#REF!,CB15&lt;&gt;"N/A"))</formula>
    </cfRule>
  </conditionalFormatting>
  <conditionalFormatting sqref="CK239:CK243">
    <cfRule type="expression" dxfId="12955" priority="35014" stopIfTrue="1">
      <formula>AND(IF(CK239&gt;=#REF!,CK239&lt;&gt;"N/A"))</formula>
    </cfRule>
    <cfRule type="expression" dxfId="12954" priority="35015" stopIfTrue="1">
      <formula>AND(IF(CK239&lt;#REF!,CK239&gt;=#REF!,CK239&lt;&gt;"N/A"))</formula>
    </cfRule>
    <cfRule type="expression" dxfId="12953" priority="35016" stopIfTrue="1">
      <formula>AND(IF(CK239&lt;#REF!,CK239&lt;&gt;"N/A"))</formula>
    </cfRule>
  </conditionalFormatting>
  <conditionalFormatting sqref="CB209:CB217">
    <cfRule type="expression" dxfId="12952" priority="35008" stopIfTrue="1">
      <formula>AND(IF(CB209&gt;=#REF!,CB209&lt;&gt;"N/A"))</formula>
    </cfRule>
    <cfRule type="expression" dxfId="12951" priority="35009" stopIfTrue="1">
      <formula>AND(IF(CB209&lt;#REF!,CB209&gt;=#REF!,CB209&lt;&gt;"N/A"))</formula>
    </cfRule>
    <cfRule type="expression" dxfId="12950" priority="35010" stopIfTrue="1">
      <formula>AND(IF(CB209&lt;#REF!,CB209&lt;&gt;"N/A"))</formula>
    </cfRule>
  </conditionalFormatting>
  <conditionalFormatting sqref="CB134:CB139">
    <cfRule type="expression" dxfId="12949" priority="35002" stopIfTrue="1">
      <formula>AND(IF(CB134&gt;=#REF!,CB134&lt;&gt;"N/A"))</formula>
    </cfRule>
    <cfRule type="expression" dxfId="12948" priority="35003" stopIfTrue="1">
      <formula>AND(IF(CB134&lt;#REF!,CB134&gt;=#REF!,CB134&lt;&gt;"N/A"))</formula>
    </cfRule>
    <cfRule type="expression" dxfId="12947" priority="35004" stopIfTrue="1">
      <formula>AND(IF(CB134&lt;#REF!,CB134&lt;&gt;"N/A"))</formula>
    </cfRule>
  </conditionalFormatting>
  <conditionalFormatting sqref="CK15">
    <cfRule type="expression" dxfId="12946" priority="34999" stopIfTrue="1">
      <formula>AND(IF(CK15&gt;=#REF!,CK15&lt;&gt;"N/A"))</formula>
    </cfRule>
    <cfRule type="expression" dxfId="12945" priority="35000" stopIfTrue="1">
      <formula>AND(IF(CK15&lt;#REF!,CK15&gt;=#REF!,CK15&lt;&gt;"N/A"))</formula>
    </cfRule>
    <cfRule type="expression" dxfId="12944" priority="35001" stopIfTrue="1">
      <formula>AND(IF(CK15&lt;#REF!,CK15&lt;&gt;"N/A"))</formula>
    </cfRule>
  </conditionalFormatting>
  <conditionalFormatting sqref="CE134:CE139">
    <cfRule type="expression" dxfId="12943" priority="34996" stopIfTrue="1">
      <formula>AND(IF(CE134&gt;=#REF!,CE134&lt;&gt;"N/A"))</formula>
    </cfRule>
    <cfRule type="expression" dxfId="12942" priority="34997" stopIfTrue="1">
      <formula>AND(IF(CE134&lt;#REF!,CE134&gt;=#REF!,CE134&lt;&gt;"N/A"))</formula>
    </cfRule>
    <cfRule type="expression" dxfId="12941" priority="34998" stopIfTrue="1">
      <formula>AND(IF(CE134&lt;#REF!,CE134&lt;&gt;"N/A"))</formula>
    </cfRule>
  </conditionalFormatting>
  <conditionalFormatting sqref="CH134:CH139">
    <cfRule type="expression" dxfId="12940" priority="34993" stopIfTrue="1">
      <formula>AND(IF(CH134&gt;=#REF!,CH134&lt;&gt;"N/A"))</formula>
    </cfRule>
    <cfRule type="expression" dxfId="12939" priority="34994" stopIfTrue="1">
      <formula>AND(IF(CH134&lt;#REF!,CH134&gt;=#REF!,CH134&lt;&gt;"N/A"))</formula>
    </cfRule>
    <cfRule type="expression" dxfId="12938" priority="34995" stopIfTrue="1">
      <formula>AND(IF(CH134&lt;#REF!,CH134&lt;&gt;"N/A"))</formula>
    </cfRule>
  </conditionalFormatting>
  <conditionalFormatting sqref="AG15 AI15 AG134 AI134 K15 S134 Z134 Z15 AF218:AI220 R218:S220 Y218:Z220 R174 R238 Y174:Z174 Y238:Z238 AF174:AI174 AF238:AI238 R161:S162 Y161:Z162 AF248:AF249 AH248:AI249 R36 R182:S182 Y182:Z182 AF182:AI182 L308 L134 L208 L364 AF222:AI222 R222:S222 Y222:Z222 R247:S254 R361:S361 Y247:Z254 Y361:Z361 AF249:AI254 AF361:AI361 K211:L226 Y166:Z169 R166:S169 K35:L37 K147:L153 K41:L45 K139:L145 K230:L231 K244:L284 AF239:AG239 K179:L179 K174:L177 K181:L185 K187:L206 K161:L171 R171:S171 Y171:Z171 AF171:AI171 K321:L330 K352:L354 K350:L350 K331 K305:L307 K57:L57 K234:L239 L233 K356:L359 K228:L228 K227 AF161:AI162 AF166:AI169 K92:L92 K98:L98 K118:L123 K158:L159 K127:L131 K59:L61 K287:L302">
    <cfRule type="cellIs" dxfId="12937" priority="34973" operator="between">
      <formula>0.76</formula>
      <formula>0.95</formula>
    </cfRule>
    <cfRule type="cellIs" dxfId="12936" priority="34974" operator="between">
      <formula>0.51</formula>
      <formula>0.75</formula>
    </cfRule>
    <cfRule type="cellIs" dxfId="12935" priority="34975" operator="greaterThan">
      <formula>1</formula>
    </cfRule>
    <cfRule type="cellIs" dxfId="12934" priority="34976" operator="between">
      <formula>0.96</formula>
      <formula>1</formula>
    </cfRule>
    <cfRule type="cellIs" dxfId="12933" priority="34977" stopIfTrue="1" operator="between">
      <formula>0</formula>
      <formula>0.5</formula>
    </cfRule>
  </conditionalFormatting>
  <conditionalFormatting sqref="K208">
    <cfRule type="cellIs" dxfId="12932" priority="34303" operator="between">
      <formula>0.76</formula>
      <formula>0.95</formula>
    </cfRule>
    <cfRule type="cellIs" dxfId="12931" priority="34304" operator="between">
      <formula>0.51</formula>
      <formula>0.75</formula>
    </cfRule>
    <cfRule type="cellIs" dxfId="12930" priority="34305" operator="greaterThan">
      <formula>1</formula>
    </cfRule>
    <cfRule type="cellIs" dxfId="12929" priority="34306" operator="between">
      <formula>0.96</formula>
      <formula>1</formula>
    </cfRule>
    <cfRule type="cellIs" dxfId="12928" priority="34307" stopIfTrue="1" operator="between">
      <formula>0</formula>
      <formula>0.5</formula>
    </cfRule>
  </conditionalFormatting>
  <conditionalFormatting sqref="K133">
    <cfRule type="cellIs" dxfId="12927" priority="34638" operator="between">
      <formula>0.76</formula>
      <formula>0.95</formula>
    </cfRule>
    <cfRule type="cellIs" dxfId="12926" priority="34639" operator="between">
      <formula>0.51</formula>
      <formula>0.75</formula>
    </cfRule>
    <cfRule type="cellIs" dxfId="12925" priority="34640" operator="greaterThan">
      <formula>1</formula>
    </cfRule>
    <cfRule type="cellIs" dxfId="12924" priority="34641" operator="between">
      <formula>0.96</formula>
      <formula>1</formula>
    </cfRule>
    <cfRule type="cellIs" dxfId="12923" priority="34642" stopIfTrue="1" operator="between">
      <formula>0</formula>
      <formula>0.5</formula>
    </cfRule>
  </conditionalFormatting>
  <conditionalFormatting sqref="K134">
    <cfRule type="cellIs" dxfId="12922" priority="34633" operator="between">
      <formula>0.76</formula>
      <formula>0.95</formula>
    </cfRule>
    <cfRule type="cellIs" dxfId="12921" priority="34634" operator="between">
      <formula>0.51</formula>
      <formula>0.75</formula>
    </cfRule>
    <cfRule type="cellIs" dxfId="12920" priority="34635" operator="greaterThan">
      <formula>1</formula>
    </cfRule>
    <cfRule type="cellIs" dxfId="12919" priority="34636" operator="between">
      <formula>0.96</formula>
      <formula>1</formula>
    </cfRule>
    <cfRule type="cellIs" dxfId="12918" priority="34637" stopIfTrue="1" operator="between">
      <formula>0</formula>
      <formula>0.5</formula>
    </cfRule>
  </conditionalFormatting>
  <conditionalFormatting sqref="K308">
    <cfRule type="cellIs" dxfId="12917" priority="34118" operator="between">
      <formula>0.76</formula>
      <formula>0.95</formula>
    </cfRule>
    <cfRule type="cellIs" dxfId="12916" priority="34119" operator="between">
      <formula>0.51</formula>
      <formula>0.75</formula>
    </cfRule>
    <cfRule type="cellIs" dxfId="12915" priority="34120" operator="greaterThan">
      <formula>1</formula>
    </cfRule>
    <cfRule type="cellIs" dxfId="12914" priority="34121" operator="between">
      <formula>0.96</formula>
      <formula>1</formula>
    </cfRule>
    <cfRule type="cellIs" dxfId="12913" priority="34122" stopIfTrue="1" operator="between">
      <formula>0</formula>
      <formula>0.5</formula>
    </cfRule>
  </conditionalFormatting>
  <conditionalFormatting sqref="K364">
    <cfRule type="cellIs" dxfId="12912" priority="34098" operator="between">
      <formula>0.76</formula>
      <formula>0.95</formula>
    </cfRule>
    <cfRule type="cellIs" dxfId="12911" priority="34099" operator="between">
      <formula>0.51</formula>
      <formula>0.75</formula>
    </cfRule>
    <cfRule type="cellIs" dxfId="12910" priority="34100" operator="greaterThan">
      <formula>1</formula>
    </cfRule>
    <cfRule type="cellIs" dxfId="12909" priority="34101" operator="between">
      <formula>0.96</formula>
      <formula>1</formula>
    </cfRule>
    <cfRule type="cellIs" dxfId="12908" priority="34102" stopIfTrue="1" operator="between">
      <formula>0</formula>
      <formula>0.5</formula>
    </cfRule>
  </conditionalFormatting>
  <conditionalFormatting sqref="R15:S15 S209 R225:S226 Y225:Z226 AF225:AI226 R44:R45 Y44:Z45 AF44:AI45 AF321:AI325 R321:R325 Y321:Y325 AH331:AI331 R331 AF331 R350 Y350:Z350 Y331:Z331 AF350 AH350:AI350 R57 Y57:Z57 AF57:AI57">
    <cfRule type="cellIs" dxfId="12907" priority="34088" operator="between">
      <formula>0.76</formula>
      <formula>0.95</formula>
    </cfRule>
    <cfRule type="cellIs" dxfId="12906" priority="34089" operator="between">
      <formula>0.51</formula>
      <formula>0.75</formula>
    </cfRule>
    <cfRule type="cellIs" dxfId="12905" priority="34090" operator="greaterThan">
      <formula>1</formula>
    </cfRule>
    <cfRule type="cellIs" dxfId="12904" priority="34091" operator="between">
      <formula>0.95</formula>
      <formula>1</formula>
    </cfRule>
    <cfRule type="cellIs" dxfId="12903" priority="34092" stopIfTrue="1" operator="between">
      <formula>0</formula>
      <formula>0.5</formula>
    </cfRule>
  </conditionalFormatting>
  <conditionalFormatting sqref="R208">
    <cfRule type="cellIs" dxfId="12902" priority="33393" operator="between">
      <formula>0.76</formula>
      <formula>0.95</formula>
    </cfRule>
    <cfRule type="cellIs" dxfId="12901" priority="33394" operator="between">
      <formula>0.51</formula>
      <formula>0.75</formula>
    </cfRule>
    <cfRule type="cellIs" dxfId="12900" priority="33395" operator="greaterThan">
      <formula>1</formula>
    </cfRule>
    <cfRule type="cellIs" dxfId="12899" priority="33396" operator="between">
      <formula>0.95</formula>
      <formula>1</formula>
    </cfRule>
    <cfRule type="cellIs" dxfId="12898" priority="33397" stopIfTrue="1" operator="between">
      <formula>0</formula>
      <formula>0.5</formula>
    </cfRule>
  </conditionalFormatting>
  <conditionalFormatting sqref="R209">
    <cfRule type="cellIs" dxfId="12897" priority="33388" operator="between">
      <formula>0.76</formula>
      <formula>0.95</formula>
    </cfRule>
    <cfRule type="cellIs" dxfId="12896" priority="33389" operator="between">
      <formula>0.51</formula>
      <formula>0.75</formula>
    </cfRule>
    <cfRule type="cellIs" dxfId="12895" priority="33390" operator="greaterThan">
      <formula>1</formula>
    </cfRule>
    <cfRule type="cellIs" dxfId="12894" priority="33391" operator="between">
      <formula>0.95</formula>
      <formula>1</formula>
    </cfRule>
    <cfRule type="cellIs" dxfId="12893" priority="33392" stopIfTrue="1" operator="between">
      <formula>0</formula>
      <formula>0.5</formula>
    </cfRule>
  </conditionalFormatting>
  <conditionalFormatting sqref="R133">
    <cfRule type="cellIs" dxfId="12892" priority="33723" operator="between">
      <formula>0.76</formula>
      <formula>0.95</formula>
    </cfRule>
    <cfRule type="cellIs" dxfId="12891" priority="33724" operator="between">
      <formula>0.51</formula>
      <formula>0.75</formula>
    </cfRule>
    <cfRule type="cellIs" dxfId="12890" priority="33725" operator="greaterThan">
      <formula>1</formula>
    </cfRule>
    <cfRule type="cellIs" dxfId="12889" priority="33726" operator="between">
      <formula>0.95</formula>
      <formula>1</formula>
    </cfRule>
    <cfRule type="cellIs" dxfId="12888" priority="33727" stopIfTrue="1" operator="between">
      <formula>0</formula>
      <formula>0.5</formula>
    </cfRule>
  </conditionalFormatting>
  <conditionalFormatting sqref="R134">
    <cfRule type="cellIs" dxfId="12887" priority="33718" operator="between">
      <formula>0.76</formula>
      <formula>0.95</formula>
    </cfRule>
    <cfRule type="cellIs" dxfId="12886" priority="33719" operator="between">
      <formula>0.51</formula>
      <formula>0.75</formula>
    </cfRule>
    <cfRule type="cellIs" dxfId="12885" priority="33720" operator="greaterThan">
      <formula>1</formula>
    </cfRule>
    <cfRule type="cellIs" dxfId="12884" priority="33721" operator="between">
      <formula>0.95</formula>
      <formula>1</formula>
    </cfRule>
    <cfRule type="cellIs" dxfId="12883" priority="33722" stopIfTrue="1" operator="between">
      <formula>0</formula>
      <formula>0.5</formula>
    </cfRule>
  </conditionalFormatting>
  <conditionalFormatting sqref="R159">
    <cfRule type="cellIs" dxfId="12882" priority="33363" operator="between">
      <formula>0.76</formula>
      <formula>0.95</formula>
    </cfRule>
    <cfRule type="cellIs" dxfId="12881" priority="33364" operator="between">
      <formula>0.51</formula>
      <formula>0.75</formula>
    </cfRule>
    <cfRule type="cellIs" dxfId="12880" priority="33365" operator="greaterThan">
      <formula>1</formula>
    </cfRule>
    <cfRule type="cellIs" dxfId="12879" priority="33366" operator="between">
      <formula>0.95</formula>
      <formula>1</formula>
    </cfRule>
    <cfRule type="cellIs" dxfId="12878" priority="33367" stopIfTrue="1" operator="between">
      <formula>0</formula>
      <formula>0.5</formula>
    </cfRule>
  </conditionalFormatting>
  <conditionalFormatting sqref="Y15">
    <cfRule type="cellIs" dxfId="12877" priority="33173" operator="between">
      <formula>0.76</formula>
      <formula>0.95</formula>
    </cfRule>
    <cfRule type="cellIs" dxfId="12876" priority="33174" operator="between">
      <formula>0.51</formula>
      <formula>0.75</formula>
    </cfRule>
    <cfRule type="cellIs" dxfId="12875" priority="33175" operator="greaterThan">
      <formula>1</formula>
    </cfRule>
    <cfRule type="cellIs" dxfId="12874" priority="33176" operator="between">
      <formula>0.95</formula>
      <formula>1</formula>
    </cfRule>
    <cfRule type="cellIs" dxfId="12873" priority="33177" stopIfTrue="1" operator="between">
      <formula>0</formula>
      <formula>0.5</formula>
    </cfRule>
  </conditionalFormatting>
  <conditionalFormatting sqref="Y209">
    <cfRule type="cellIs" dxfId="12872" priority="32483" operator="between">
      <formula>0.76</formula>
      <formula>0.95</formula>
    </cfRule>
    <cfRule type="cellIs" dxfId="12871" priority="32484" operator="between">
      <formula>0.51</formula>
      <formula>0.75</formula>
    </cfRule>
    <cfRule type="cellIs" dxfId="12870" priority="32485" operator="greaterThan">
      <formula>1</formula>
    </cfRule>
    <cfRule type="cellIs" dxfId="12869" priority="32486" operator="between">
      <formula>0.95</formula>
      <formula>1</formula>
    </cfRule>
    <cfRule type="cellIs" dxfId="12868" priority="32487" stopIfTrue="1" operator="between">
      <formula>0</formula>
      <formula>0.5</formula>
    </cfRule>
  </conditionalFormatting>
  <conditionalFormatting sqref="Y134">
    <cfRule type="cellIs" dxfId="12867" priority="32803" operator="between">
      <formula>0.76</formula>
      <formula>0.95</formula>
    </cfRule>
    <cfRule type="cellIs" dxfId="12866" priority="32804" operator="between">
      <formula>0.51</formula>
      <formula>0.75</formula>
    </cfRule>
    <cfRule type="cellIs" dxfId="12865" priority="32805" operator="greaterThan">
      <formula>1</formula>
    </cfRule>
    <cfRule type="cellIs" dxfId="12864" priority="32806" operator="between">
      <formula>0.95</formula>
      <formula>1</formula>
    </cfRule>
    <cfRule type="cellIs" dxfId="12863" priority="32807" stopIfTrue="1" operator="between">
      <formula>0</formula>
      <formula>0.5</formula>
    </cfRule>
  </conditionalFormatting>
  <conditionalFormatting sqref="Y159">
    <cfRule type="cellIs" dxfId="12862" priority="32453" operator="between">
      <formula>0.76</formula>
      <formula>0.95</formula>
    </cfRule>
    <cfRule type="cellIs" dxfId="12861" priority="32454" operator="between">
      <formula>0.51</formula>
      <formula>0.75</formula>
    </cfRule>
    <cfRule type="cellIs" dxfId="12860" priority="32455" operator="greaterThan">
      <formula>1</formula>
    </cfRule>
    <cfRule type="cellIs" dxfId="12859" priority="32456" operator="between">
      <formula>0.95</formula>
      <formula>1</formula>
    </cfRule>
    <cfRule type="cellIs" dxfId="12858" priority="32457" stopIfTrue="1" operator="between">
      <formula>0</formula>
      <formula>0.5</formula>
    </cfRule>
  </conditionalFormatting>
  <conditionalFormatting sqref="AF15">
    <cfRule type="cellIs" dxfId="12857" priority="32268" operator="between">
      <formula>0.76</formula>
      <formula>0.95</formula>
    </cfRule>
    <cfRule type="cellIs" dxfId="12856" priority="32269" operator="between">
      <formula>0.51</formula>
      <formula>0.75</formula>
    </cfRule>
    <cfRule type="cellIs" dxfId="12855" priority="32270" operator="greaterThan">
      <formula>1</formula>
    </cfRule>
    <cfRule type="cellIs" dxfId="12854" priority="32271" operator="between">
      <formula>0.95</formula>
      <formula>1</formula>
    </cfRule>
    <cfRule type="cellIs" dxfId="12853" priority="32272" stopIfTrue="1" operator="between">
      <formula>0</formula>
      <formula>0.5</formula>
    </cfRule>
  </conditionalFormatting>
  <conditionalFormatting sqref="AF209">
    <cfRule type="cellIs" dxfId="12852" priority="31583" operator="between">
      <formula>0.76</formula>
      <formula>0.95</formula>
    </cfRule>
    <cfRule type="cellIs" dxfId="12851" priority="31584" operator="between">
      <formula>0.51</formula>
      <formula>0.75</formula>
    </cfRule>
    <cfRule type="cellIs" dxfId="12850" priority="31585" operator="greaterThan">
      <formula>1</formula>
    </cfRule>
    <cfRule type="cellIs" dxfId="12849" priority="31586" operator="between">
      <formula>0.95</formula>
      <formula>1</formula>
    </cfRule>
    <cfRule type="cellIs" dxfId="12848" priority="31587" stopIfTrue="1" operator="between">
      <formula>0</formula>
      <formula>0.5</formula>
    </cfRule>
  </conditionalFormatting>
  <conditionalFormatting sqref="AF134">
    <cfRule type="cellIs" dxfId="12847" priority="31908" operator="between">
      <formula>0.76</formula>
      <formula>0.95</formula>
    </cfRule>
    <cfRule type="cellIs" dxfId="12846" priority="31909" operator="between">
      <formula>0.51</formula>
      <formula>0.75</formula>
    </cfRule>
    <cfRule type="cellIs" dxfId="12845" priority="31910" operator="greaterThan">
      <formula>1</formula>
    </cfRule>
    <cfRule type="cellIs" dxfId="12844" priority="31911" operator="between">
      <formula>0.95</formula>
      <formula>1</formula>
    </cfRule>
    <cfRule type="cellIs" dxfId="12843" priority="31912" stopIfTrue="1" operator="between">
      <formula>0</formula>
      <formula>0.5</formula>
    </cfRule>
  </conditionalFormatting>
  <conditionalFormatting sqref="AF159">
    <cfRule type="cellIs" dxfId="12842" priority="31558" operator="between">
      <formula>0.76</formula>
      <formula>0.95</formula>
    </cfRule>
    <cfRule type="cellIs" dxfId="12841" priority="31559" operator="between">
      <formula>0.51</formula>
      <formula>0.75</formula>
    </cfRule>
    <cfRule type="cellIs" dxfId="12840" priority="31560" operator="greaterThan">
      <formula>1</formula>
    </cfRule>
    <cfRule type="cellIs" dxfId="12839" priority="31561" operator="between">
      <formula>0.95</formula>
      <formula>1</formula>
    </cfRule>
    <cfRule type="cellIs" dxfId="12838" priority="31562" stopIfTrue="1" operator="between">
      <formula>0</formula>
      <formula>0.5</formula>
    </cfRule>
  </conditionalFormatting>
  <conditionalFormatting sqref="AH15">
    <cfRule type="cellIs" dxfId="12837" priority="31348" operator="between">
      <formula>0.76</formula>
      <formula>0.95</formula>
    </cfRule>
    <cfRule type="cellIs" dxfId="12836" priority="31349" operator="between">
      <formula>0.51</formula>
      <formula>0.75</formula>
    </cfRule>
    <cfRule type="cellIs" dxfId="12835" priority="31350" operator="greaterThan">
      <formula>1</formula>
    </cfRule>
    <cfRule type="cellIs" dxfId="12834" priority="31351" operator="between">
      <formula>0.95</formula>
      <formula>1</formula>
    </cfRule>
    <cfRule type="cellIs" dxfId="12833" priority="31352" stopIfTrue="1" operator="between">
      <formula>0</formula>
      <formula>0.5</formula>
    </cfRule>
  </conditionalFormatting>
  <conditionalFormatting sqref="T15 T218:T220 T174 T238 T162 T36 T182 T222 T247:T254 T361 T225:T226 T166:T168 T44:T45 T171 T321:T325 T331 T350 T57">
    <cfRule type="cellIs" dxfId="12832" priority="31383" operator="between">
      <formula>0.3751</formula>
      <formula>0.475</formula>
    </cfRule>
    <cfRule type="cellIs" dxfId="12831" priority="31384" operator="between">
      <formula>0.2551</formula>
      <formula>0.375</formula>
    </cfRule>
    <cfRule type="cellIs" dxfId="12830" priority="31385" operator="greaterThan">
      <formula>0.505</formula>
    </cfRule>
    <cfRule type="cellIs" dxfId="12829" priority="31386" operator="between">
      <formula>0.48</formula>
      <formula>0.5</formula>
    </cfRule>
    <cfRule type="cellIs" dxfId="12828" priority="31387" stopIfTrue="1" operator="between">
      <formula>0</formula>
      <formula>0.255</formula>
    </cfRule>
  </conditionalFormatting>
  <conditionalFormatting sqref="AA15:AC15 AA218:AC220 AA174:AC174 AA238:AC238 AA182:AC182 AA222:AC222 AA247:AC254 AA361:AC361 AA225:AC226 AA44:AC45 AA162:AC162 AA171:AC171 AA321:AC325 AA331:AC331 AA350:AC350 AA57:AC57 AA166:AC169">
    <cfRule type="cellIs" dxfId="12827" priority="31353" operator="between">
      <formula>0.56251</formula>
      <formula>0.7125</formula>
    </cfRule>
    <cfRule type="cellIs" dxfId="12826" priority="31354" operator="between">
      <formula>0.3751</formula>
      <formula>0.5625</formula>
    </cfRule>
    <cfRule type="cellIs" dxfId="12825" priority="31355" operator="greaterThan">
      <formula>0.751</formula>
    </cfRule>
    <cfRule type="cellIs" dxfId="12824" priority="31356" operator="between">
      <formula>0.71251</formula>
      <formula>0.75</formula>
    </cfRule>
    <cfRule type="cellIs" dxfId="12823" priority="31357" stopIfTrue="1" operator="between">
      <formula>0</formula>
      <formula>0.375</formula>
    </cfRule>
  </conditionalFormatting>
  <conditionalFormatting sqref="AH209">
    <cfRule type="cellIs" dxfId="12822" priority="30663" operator="between">
      <formula>0.76</formula>
      <formula>0.95</formula>
    </cfRule>
    <cfRule type="cellIs" dxfId="12821" priority="30664" operator="between">
      <formula>0.51</formula>
      <formula>0.75</formula>
    </cfRule>
    <cfRule type="cellIs" dxfId="12820" priority="30665" operator="greaterThan">
      <formula>1</formula>
    </cfRule>
    <cfRule type="cellIs" dxfId="12819" priority="30666" operator="between">
      <formula>0.95</formula>
      <formula>1</formula>
    </cfRule>
    <cfRule type="cellIs" dxfId="12818" priority="30667" stopIfTrue="1" operator="between">
      <formula>0</formula>
      <formula>0.5</formula>
    </cfRule>
  </conditionalFormatting>
  <conditionalFormatting sqref="AH134">
    <cfRule type="cellIs" dxfId="12817" priority="30988" operator="between">
      <formula>0.76</formula>
      <formula>0.95</formula>
    </cfRule>
    <cfRule type="cellIs" dxfId="12816" priority="30989" operator="between">
      <formula>0.51</formula>
      <formula>0.75</formula>
    </cfRule>
    <cfRule type="cellIs" dxfId="12815" priority="30990" operator="greaterThan">
      <formula>1</formula>
    </cfRule>
    <cfRule type="cellIs" dxfId="12814" priority="30991" operator="between">
      <formula>0.95</formula>
      <formula>1</formula>
    </cfRule>
    <cfRule type="cellIs" dxfId="12813" priority="30992" stopIfTrue="1" operator="between">
      <formula>0</formula>
      <formula>0.5</formula>
    </cfRule>
  </conditionalFormatting>
  <conditionalFormatting sqref="M15 M133:O133 O211:O226 O133:O134 M35:M37 O147:O153 O187:O196 M41:M45 O230:O231 O244:O284 O179 O174:O177 O139:O145 O181:O185 O161:O171 O321:O330 O352:O354 O350 O305:O307 O137 O233:O239 O356:O359 O228 M92 M98 M119:M123 O158:O159 M127:M132 M59:M61 O287:O302">
    <cfRule type="cellIs" dxfId="12812" priority="30458" operator="between">
      <formula>0.1876</formula>
      <formula>0.2375</formula>
    </cfRule>
    <cfRule type="cellIs" dxfId="12811" priority="30459" operator="between">
      <formula>0.1251</formula>
      <formula>0.1875</formula>
    </cfRule>
    <cfRule type="cellIs" dxfId="12810" priority="30460" operator="greaterThan">
      <formula>0.25</formula>
    </cfRule>
    <cfRule type="cellIs" dxfId="12809" priority="30461" operator="between">
      <formula>0.2375</formula>
      <formula>0.25</formula>
    </cfRule>
    <cfRule type="cellIs" dxfId="12808" priority="30462" stopIfTrue="1" operator="between">
      <formula>0</formula>
      <formula>0.125</formula>
    </cfRule>
  </conditionalFormatting>
  <conditionalFormatting sqref="M211:N226 M134:N134 N35:O37 M147:N153 M187:N196 M230:N231 M179:N179 M174:N177 M139:N145 M181:N185 M161:N171 M321:N331 M352:N354 M350:N350 M305:N307 M233:N239 M356:N359 O118 M228:N228 M244:N284 N41:O45 N92:O92 N98:O98 N119:O123 M158:N159 N127:O132 N59:O61 M287:N302">
    <cfRule type="cellIs" dxfId="12807" priority="30098" operator="between">
      <formula>0.1876</formula>
      <formula>0.2375</formula>
    </cfRule>
    <cfRule type="cellIs" dxfId="12806" priority="30099" operator="between">
      <formula>0.1251</formula>
      <formula>0.1875</formula>
    </cfRule>
    <cfRule type="cellIs" dxfId="12805" priority="30100" operator="greaterThan">
      <formula>0.25</formula>
    </cfRule>
    <cfRule type="cellIs" dxfId="12804" priority="30101" operator="between">
      <formula>0.2376</formula>
      <formula>0.25</formula>
    </cfRule>
    <cfRule type="cellIs" dxfId="12803" priority="30102" stopIfTrue="1" operator="between">
      <formula>0</formula>
      <formula>0.125</formula>
    </cfRule>
  </conditionalFormatting>
  <conditionalFormatting sqref="T209">
    <cfRule type="cellIs" dxfId="12802" priority="28303" operator="between">
      <formula>0.3751</formula>
      <formula>0.475</formula>
    </cfRule>
    <cfRule type="cellIs" dxfId="12801" priority="28304" operator="between">
      <formula>0.2551</formula>
      <formula>0.375</formula>
    </cfRule>
    <cfRule type="cellIs" dxfId="12800" priority="28305" operator="greaterThan">
      <formula>0.505</formula>
    </cfRule>
    <cfRule type="cellIs" dxfId="12799" priority="28306" operator="between">
      <formula>0.48</formula>
      <formula>0.5</formula>
    </cfRule>
    <cfRule type="cellIs" dxfId="12798" priority="28307" stopIfTrue="1" operator="between">
      <formula>0</formula>
      <formula>0.255</formula>
    </cfRule>
  </conditionalFormatting>
  <conditionalFormatting sqref="T134">
    <cfRule type="cellIs" dxfId="12797" priority="28623" operator="between">
      <formula>0.3751</formula>
      <formula>0.475</formula>
    </cfRule>
    <cfRule type="cellIs" dxfId="12796" priority="28624" operator="between">
      <formula>0.2551</formula>
      <formula>0.375</formula>
    </cfRule>
    <cfRule type="cellIs" dxfId="12795" priority="28625" operator="greaterThan">
      <formula>0.505</formula>
    </cfRule>
    <cfRule type="cellIs" dxfId="12794" priority="28626" operator="between">
      <formula>0.48</formula>
      <formula>0.5</formula>
    </cfRule>
    <cfRule type="cellIs" dxfId="12793" priority="28627" stopIfTrue="1" operator="between">
      <formula>0</formula>
      <formula>0.255</formula>
    </cfRule>
  </conditionalFormatting>
  <conditionalFormatting sqref="U15:V15 U209:V209 U134:V134 U218:V220 U174 U238 U182:V182 U222:V222 U247:V254 U361:V361 U225:V226 U166:V168 U44:U45 U162:V162 U171:V171 U321:V325 U57">
    <cfRule type="cellIs" dxfId="12792" priority="27998" operator="between">
      <formula>0.376</formula>
      <formula>0.475</formula>
    </cfRule>
    <cfRule type="cellIs" dxfId="12791" priority="27999" operator="between">
      <formula>0.2551</formula>
      <formula>0.3751</formula>
    </cfRule>
    <cfRule type="cellIs" dxfId="12790" priority="28000" operator="greaterThan">
      <formula>0.505</formula>
    </cfRule>
    <cfRule type="cellIs" dxfId="12789" priority="28001" operator="between">
      <formula>0.48</formula>
      <formula>0.5</formula>
    </cfRule>
    <cfRule type="cellIs" dxfId="12788" priority="28002" stopIfTrue="1" operator="between">
      <formula>0</formula>
      <formula>0.255</formula>
    </cfRule>
  </conditionalFormatting>
  <conditionalFormatting sqref="Z209">
    <cfRule type="cellIs" dxfId="12787" priority="27808" operator="between">
      <formula>0.76</formula>
      <formula>0.95</formula>
    </cfRule>
    <cfRule type="cellIs" dxfId="12786" priority="27809" operator="between">
      <formula>0.51</formula>
      <formula>0.75</formula>
    </cfRule>
    <cfRule type="cellIs" dxfId="12785" priority="27810" operator="greaterThan">
      <formula>1</formula>
    </cfRule>
    <cfRule type="cellIs" dxfId="12784" priority="27811" operator="between">
      <formula>0.95</formula>
      <formula>1</formula>
    </cfRule>
    <cfRule type="cellIs" dxfId="12783" priority="27812" stopIfTrue="1" operator="between">
      <formula>0</formula>
      <formula>0.5</formula>
    </cfRule>
  </conditionalFormatting>
  <conditionalFormatting sqref="Y133">
    <cfRule type="cellIs" dxfId="12782" priority="27768" operator="between">
      <formula>0.76</formula>
      <formula>0.95</formula>
    </cfRule>
    <cfRule type="cellIs" dxfId="12781" priority="27769" operator="between">
      <formula>0.51</formula>
      <formula>0.75</formula>
    </cfRule>
    <cfRule type="cellIs" dxfId="12780" priority="27770" operator="greaterThan">
      <formula>1</formula>
    </cfRule>
    <cfRule type="cellIs" dxfId="12779" priority="27771" operator="between">
      <formula>0.95</formula>
      <formula>1</formula>
    </cfRule>
    <cfRule type="cellIs" dxfId="12778" priority="27772" stopIfTrue="1" operator="between">
      <formula>0</formula>
      <formula>0.5</formula>
    </cfRule>
  </conditionalFormatting>
  <conditionalFormatting sqref="Y208">
    <cfRule type="cellIs" dxfId="12777" priority="27728" operator="between">
      <formula>0.76</formula>
      <formula>0.95</formula>
    </cfRule>
    <cfRule type="cellIs" dxfId="12776" priority="27729" operator="between">
      <formula>0.51</formula>
      <formula>0.75</formula>
    </cfRule>
    <cfRule type="cellIs" dxfId="12775" priority="27730" operator="greaterThan">
      <formula>1</formula>
    </cfRule>
    <cfRule type="cellIs" dxfId="12774" priority="27731" operator="between">
      <formula>0.95</formula>
      <formula>1</formula>
    </cfRule>
    <cfRule type="cellIs" dxfId="12773" priority="27732" stopIfTrue="1" operator="between">
      <formula>0</formula>
      <formula>0.5</formula>
    </cfRule>
  </conditionalFormatting>
  <conditionalFormatting sqref="AG209 AG159">
    <cfRule type="cellIs" dxfId="12772" priority="27648" operator="between">
      <formula>0.76</formula>
      <formula>0.95</formula>
    </cfRule>
    <cfRule type="cellIs" dxfId="12771" priority="27649" operator="between">
      <formula>0.51</formula>
      <formula>0.75</formula>
    </cfRule>
    <cfRule type="cellIs" dxfId="12770" priority="27650" operator="greaterThan">
      <formula>1</formula>
    </cfRule>
    <cfRule type="cellIs" dxfId="12769" priority="27651" operator="between">
      <formula>0.95</formula>
      <formula>1</formula>
    </cfRule>
    <cfRule type="cellIs" dxfId="12768" priority="27652" stopIfTrue="1" operator="between">
      <formula>0</formula>
      <formula>0.5</formula>
    </cfRule>
  </conditionalFormatting>
  <conditionalFormatting sqref="AI209">
    <cfRule type="cellIs" dxfId="12767" priority="27643" operator="between">
      <formula>0.76</formula>
      <formula>0.95</formula>
    </cfRule>
    <cfRule type="cellIs" dxfId="12766" priority="27644" operator="between">
      <formula>0.51</formula>
      <formula>0.75</formula>
    </cfRule>
    <cfRule type="cellIs" dxfId="12765" priority="27645" operator="greaterThan">
      <formula>1</formula>
    </cfRule>
    <cfRule type="cellIs" dxfId="12764" priority="27646" operator="between">
      <formula>0.95</formula>
      <formula>1</formula>
    </cfRule>
    <cfRule type="cellIs" dxfId="12763" priority="27647" stopIfTrue="1" operator="between">
      <formula>0</formula>
      <formula>0.5</formula>
    </cfRule>
  </conditionalFormatting>
  <conditionalFormatting sqref="AF133">
    <cfRule type="cellIs" dxfId="12762" priority="27588" operator="between">
      <formula>0.76</formula>
      <formula>0.95</formula>
    </cfRule>
    <cfRule type="cellIs" dxfId="12761" priority="27589" operator="between">
      <formula>0.51</formula>
      <formula>0.75</formula>
    </cfRule>
    <cfRule type="cellIs" dxfId="12760" priority="27590" operator="greaterThan">
      <formula>1</formula>
    </cfRule>
    <cfRule type="cellIs" dxfId="12759" priority="27591" operator="between">
      <formula>0.95</formula>
      <formula>1</formula>
    </cfRule>
    <cfRule type="cellIs" dxfId="12758" priority="27592" stopIfTrue="1" operator="between">
      <formula>0</formula>
      <formula>0.5</formula>
    </cfRule>
  </conditionalFormatting>
  <conditionalFormatting sqref="AF208">
    <cfRule type="cellIs" dxfId="12757" priority="27518" operator="between">
      <formula>0.76</formula>
      <formula>0.95</formula>
    </cfRule>
    <cfRule type="cellIs" dxfId="12756" priority="27519" operator="between">
      <formula>0.51</formula>
      <formula>0.75</formula>
    </cfRule>
    <cfRule type="cellIs" dxfId="12755" priority="27520" operator="greaterThan">
      <formula>1</formula>
    </cfRule>
    <cfRule type="cellIs" dxfId="12754" priority="27521" operator="between">
      <formula>0.95</formula>
      <formula>1</formula>
    </cfRule>
    <cfRule type="cellIs" dxfId="12753" priority="27522" stopIfTrue="1" operator="between">
      <formula>0</formula>
      <formula>0.5</formula>
    </cfRule>
  </conditionalFormatting>
  <conditionalFormatting sqref="L15">
    <cfRule type="cellIs" dxfId="12752" priority="27268" operator="between">
      <formula>0.76</formula>
      <formula>0.95</formula>
    </cfRule>
    <cfRule type="cellIs" dxfId="12751" priority="27269" operator="between">
      <formula>0.51</formula>
      <formula>0.75</formula>
    </cfRule>
    <cfRule type="cellIs" dxfId="12750" priority="27270" operator="greaterThan">
      <formula>1</formula>
    </cfRule>
    <cfRule type="cellIs" dxfId="12749" priority="27271" operator="between">
      <formula>0.96</formula>
      <formula>1</formula>
    </cfRule>
    <cfRule type="cellIs" dxfId="12748" priority="27272" stopIfTrue="1" operator="between">
      <formula>0</formula>
      <formula>0.5</formula>
    </cfRule>
  </conditionalFormatting>
  <conditionalFormatting sqref="N15">
    <cfRule type="cellIs" dxfId="12747" priority="27263" operator="between">
      <formula>0.1876</formula>
      <formula>0.2375</formula>
    </cfRule>
    <cfRule type="cellIs" dxfId="12746" priority="27264" operator="between">
      <formula>0.1251</formula>
      <formula>0.1875</formula>
    </cfRule>
    <cfRule type="cellIs" dxfId="12745" priority="27265" operator="greaterThan">
      <formula>0.25</formula>
    </cfRule>
    <cfRule type="cellIs" dxfId="12744" priority="27266" operator="between">
      <formula>0.2376</formula>
      <formula>0.25</formula>
    </cfRule>
    <cfRule type="cellIs" dxfId="12743" priority="27267" stopIfTrue="1" operator="between">
      <formula>0</formula>
      <formula>0.125</formula>
    </cfRule>
  </conditionalFormatting>
  <conditionalFormatting sqref="AI169 AI171">
    <cfRule type="cellIs" dxfId="12742" priority="21423" operator="between">
      <formula>0.76</formula>
      <formula>0.95</formula>
    </cfRule>
    <cfRule type="cellIs" dxfId="12741" priority="21424" operator="between">
      <formula>0.51</formula>
      <formula>0.75</formula>
    </cfRule>
    <cfRule type="cellIs" dxfId="12740" priority="21425" operator="greaterThan">
      <formula>1</formula>
    </cfRule>
    <cfRule type="cellIs" dxfId="12739" priority="21426" operator="between">
      <formula>0.95</formula>
      <formula>1</formula>
    </cfRule>
    <cfRule type="cellIs" dxfId="12738" priority="21427" stopIfTrue="1" operator="between">
      <formula>0</formula>
      <formula>0.5</formula>
    </cfRule>
  </conditionalFormatting>
  <conditionalFormatting sqref="AB209">
    <cfRule type="cellIs" dxfId="12737" priority="20788" operator="between">
      <formula>0.56251</formula>
      <formula>0.7125</formula>
    </cfRule>
    <cfRule type="cellIs" dxfId="12736" priority="20789" operator="between">
      <formula>0.3751</formula>
      <formula>0.5625</formula>
    </cfRule>
    <cfRule type="cellIs" dxfId="12735" priority="20790" operator="greaterThan">
      <formula>0.751</formula>
    </cfRule>
    <cfRule type="cellIs" dxfId="12734" priority="20791" operator="between">
      <formula>0.71251</formula>
      <formula>0.75</formula>
    </cfRule>
    <cfRule type="cellIs" dxfId="12733" priority="20792" stopIfTrue="1" operator="between">
      <formula>0</formula>
      <formula>0.375</formula>
    </cfRule>
  </conditionalFormatting>
  <conditionalFormatting sqref="AB134">
    <cfRule type="cellIs" dxfId="12732" priority="20713" operator="between">
      <formula>0.56251</formula>
      <formula>0.7125</formula>
    </cfRule>
    <cfRule type="cellIs" dxfId="12731" priority="20714" operator="between">
      <formula>0.3751</formula>
      <formula>0.5625</formula>
    </cfRule>
    <cfRule type="cellIs" dxfId="12730" priority="20715" operator="greaterThan">
      <formula>0.751</formula>
    </cfRule>
    <cfRule type="cellIs" dxfId="12729" priority="20716" operator="between">
      <formula>0.71251</formula>
      <formula>0.75</formula>
    </cfRule>
    <cfRule type="cellIs" dxfId="12728" priority="20717" stopIfTrue="1" operator="between">
      <formula>0</formula>
      <formula>0.375</formula>
    </cfRule>
  </conditionalFormatting>
  <conditionalFormatting sqref="AA209">
    <cfRule type="cellIs" dxfId="12727" priority="20798" operator="between">
      <formula>0.56251</formula>
      <formula>0.7125</formula>
    </cfRule>
    <cfRule type="cellIs" dxfId="12726" priority="20799" operator="between">
      <formula>0.3751</formula>
      <formula>0.5625</formula>
    </cfRule>
    <cfRule type="cellIs" dxfId="12725" priority="20800" operator="greaterThan">
      <formula>0.751</formula>
    </cfRule>
    <cfRule type="cellIs" dxfId="12724" priority="20801" operator="between">
      <formula>0.71251</formula>
      <formula>0.75</formula>
    </cfRule>
    <cfRule type="cellIs" dxfId="12723" priority="20802" stopIfTrue="1" operator="between">
      <formula>0</formula>
      <formula>0.375</formula>
    </cfRule>
  </conditionalFormatting>
  <conditionalFormatting sqref="AC209">
    <cfRule type="cellIs" dxfId="12722" priority="20793" operator="between">
      <formula>0.56251</formula>
      <formula>0.7125</formula>
    </cfRule>
    <cfRule type="cellIs" dxfId="12721" priority="20794" operator="between">
      <formula>0.3751</formula>
      <formula>0.5625</formula>
    </cfRule>
    <cfRule type="cellIs" dxfId="12720" priority="20795" operator="greaterThan">
      <formula>0.751</formula>
    </cfRule>
    <cfRule type="cellIs" dxfId="12719" priority="20796" operator="between">
      <formula>0.71251</formula>
      <formula>0.75</formula>
    </cfRule>
    <cfRule type="cellIs" dxfId="12718" priority="20797" stopIfTrue="1" operator="between">
      <formula>0</formula>
      <formula>0.375</formula>
    </cfRule>
  </conditionalFormatting>
  <conditionalFormatting sqref="AA134">
    <cfRule type="cellIs" dxfId="12717" priority="20723" operator="between">
      <formula>0.56251</formula>
      <formula>0.7125</formula>
    </cfRule>
    <cfRule type="cellIs" dxfId="12716" priority="20724" operator="between">
      <formula>0.3751</formula>
      <formula>0.5625</formula>
    </cfRule>
    <cfRule type="cellIs" dxfId="12715" priority="20725" operator="greaterThan">
      <formula>0.751</formula>
    </cfRule>
    <cfRule type="cellIs" dxfId="12714" priority="20726" operator="between">
      <formula>0.71251</formula>
      <formula>0.75</formula>
    </cfRule>
    <cfRule type="cellIs" dxfId="12713" priority="20727" stopIfTrue="1" operator="between">
      <formula>0</formula>
      <formula>0.375</formula>
    </cfRule>
  </conditionalFormatting>
  <conditionalFormatting sqref="AC134">
    <cfRule type="cellIs" dxfId="12712" priority="20718" operator="between">
      <formula>0.56251</formula>
      <formula>0.7125</formula>
    </cfRule>
    <cfRule type="cellIs" dxfId="12711" priority="20719" operator="between">
      <formula>0.3751</formula>
      <formula>0.5625</formula>
    </cfRule>
    <cfRule type="cellIs" dxfId="12710" priority="20720" operator="greaterThan">
      <formula>0.751</formula>
    </cfRule>
    <cfRule type="cellIs" dxfId="12709" priority="20721" operator="between">
      <formula>0.71251</formula>
      <formula>0.75</formula>
    </cfRule>
    <cfRule type="cellIs" dxfId="12708" priority="20722" stopIfTrue="1" operator="between">
      <formula>0</formula>
      <formula>0.375</formula>
    </cfRule>
  </conditionalFormatting>
  <conditionalFormatting sqref="AG137 AI137 S137 Z137">
    <cfRule type="cellIs" dxfId="12707" priority="18836" operator="between">
      <formula>0.76</formula>
      <formula>0.95</formula>
    </cfRule>
    <cfRule type="cellIs" dxfId="12706" priority="18837" operator="between">
      <formula>0.51</formula>
      <formula>0.75</formula>
    </cfRule>
    <cfRule type="cellIs" dxfId="12705" priority="18838" operator="greaterThan">
      <formula>1</formula>
    </cfRule>
    <cfRule type="cellIs" dxfId="12704" priority="18839" operator="between">
      <formula>0.95</formula>
      <formula>1</formula>
    </cfRule>
    <cfRule type="cellIs" dxfId="12703" priority="18840" stopIfTrue="1" operator="between">
      <formula>0</formula>
      <formula>0.5</formula>
    </cfRule>
  </conditionalFormatting>
  <conditionalFormatting sqref="R137">
    <cfRule type="cellIs" dxfId="12702" priority="18826" operator="between">
      <formula>0.76</formula>
      <formula>0.95</formula>
    </cfRule>
    <cfRule type="cellIs" dxfId="12701" priority="18827" operator="between">
      <formula>0.51</formula>
      <formula>0.75</formula>
    </cfRule>
    <cfRule type="cellIs" dxfId="12700" priority="18828" operator="greaterThan">
      <formula>1</formula>
    </cfRule>
    <cfRule type="cellIs" dxfId="12699" priority="18829" operator="between">
      <formula>0.95</formula>
      <formula>1</formula>
    </cfRule>
    <cfRule type="cellIs" dxfId="12698" priority="18830" stopIfTrue="1" operator="between">
      <formula>0</formula>
      <formula>0.5</formula>
    </cfRule>
  </conditionalFormatting>
  <conditionalFormatting sqref="Y137">
    <cfRule type="cellIs" dxfId="12697" priority="18821" operator="between">
      <formula>0.76</formula>
      <formula>0.95</formula>
    </cfRule>
    <cfRule type="cellIs" dxfId="12696" priority="18822" operator="between">
      <formula>0.51</formula>
      <formula>0.75</formula>
    </cfRule>
    <cfRule type="cellIs" dxfId="12695" priority="18823" operator="greaterThan">
      <formula>1</formula>
    </cfRule>
    <cfRule type="cellIs" dxfId="12694" priority="18824" operator="between">
      <formula>0.95</formula>
      <formula>1</formula>
    </cfRule>
    <cfRule type="cellIs" dxfId="12693" priority="18825" stopIfTrue="1" operator="between">
      <formula>0</formula>
      <formula>0.5</formula>
    </cfRule>
  </conditionalFormatting>
  <conditionalFormatting sqref="AF137">
    <cfRule type="cellIs" dxfId="12692" priority="18816" operator="between">
      <formula>0.76</formula>
      <formula>0.95</formula>
    </cfRule>
    <cfRule type="cellIs" dxfId="12691" priority="18817" operator="between">
      <formula>0.51</formula>
      <formula>0.75</formula>
    </cfRule>
    <cfRule type="cellIs" dxfId="12690" priority="18818" operator="greaterThan">
      <formula>1</formula>
    </cfRule>
    <cfRule type="cellIs" dxfId="12689" priority="18819" operator="between">
      <formula>0.95</formula>
      <formula>1</formula>
    </cfRule>
    <cfRule type="cellIs" dxfId="12688" priority="18820" stopIfTrue="1" operator="between">
      <formula>0</formula>
      <formula>0.5</formula>
    </cfRule>
  </conditionalFormatting>
  <conditionalFormatting sqref="AH137">
    <cfRule type="cellIs" dxfId="12687" priority="18811" operator="between">
      <formula>0.76</formula>
      <formula>0.95</formula>
    </cfRule>
    <cfRule type="cellIs" dxfId="12686" priority="18812" operator="between">
      <formula>0.51</formula>
      <formula>0.75</formula>
    </cfRule>
    <cfRule type="cellIs" dxfId="12685" priority="18813" operator="greaterThan">
      <formula>1</formula>
    </cfRule>
    <cfRule type="cellIs" dxfId="12684" priority="18814" operator="between">
      <formula>0.95</formula>
      <formula>1</formula>
    </cfRule>
    <cfRule type="cellIs" dxfId="12683" priority="18815" stopIfTrue="1" operator="between">
      <formula>0</formula>
      <formula>0.5</formula>
    </cfRule>
  </conditionalFormatting>
  <conditionalFormatting sqref="T137">
    <cfRule type="cellIs" dxfId="12682" priority="18796" operator="between">
      <formula>0.3751</formula>
      <formula>0.475</formula>
    </cfRule>
    <cfRule type="cellIs" dxfId="12681" priority="18797" operator="between">
      <formula>0.2551</formula>
      <formula>0.375</formula>
    </cfRule>
    <cfRule type="cellIs" dxfId="12680" priority="18798" operator="greaterThan">
      <formula>0.505</formula>
    </cfRule>
    <cfRule type="cellIs" dxfId="12679" priority="18799" operator="between">
      <formula>0.48</formula>
      <formula>0.5</formula>
    </cfRule>
    <cfRule type="cellIs" dxfId="12678" priority="18800" stopIfTrue="1" operator="between">
      <formula>0</formula>
      <formula>0.255</formula>
    </cfRule>
  </conditionalFormatting>
  <conditionalFormatting sqref="U137:V137">
    <cfRule type="cellIs" dxfId="12677" priority="18791" operator="between">
      <formula>0.376</formula>
      <formula>0.475</formula>
    </cfRule>
    <cfRule type="cellIs" dxfId="12676" priority="18792" operator="between">
      <formula>0.2551</formula>
      <formula>0.3751</formula>
    </cfRule>
    <cfRule type="cellIs" dxfId="12675" priority="18793" operator="greaterThan">
      <formula>0.505</formula>
    </cfRule>
    <cfRule type="cellIs" dxfId="12674" priority="18794" operator="between">
      <formula>0.48</formula>
      <formula>0.5</formula>
    </cfRule>
    <cfRule type="cellIs" dxfId="12673" priority="18795" stopIfTrue="1" operator="between">
      <formula>0</formula>
      <formula>0.255</formula>
    </cfRule>
  </conditionalFormatting>
  <conditionalFormatting sqref="AA137">
    <cfRule type="cellIs" dxfId="12672" priority="18786" operator="between">
      <formula>0.56251</formula>
      <formula>0.7125</formula>
    </cfRule>
    <cfRule type="cellIs" dxfId="12671" priority="18787" operator="between">
      <formula>0.3751</formula>
      <formula>0.5625</formula>
    </cfRule>
    <cfRule type="cellIs" dxfId="12670" priority="18788" operator="greaterThan">
      <formula>0.751</formula>
    </cfRule>
    <cfRule type="cellIs" dxfId="12669" priority="18789" operator="between">
      <formula>0.71251</formula>
      <formula>0.75</formula>
    </cfRule>
    <cfRule type="cellIs" dxfId="12668" priority="18790" stopIfTrue="1" operator="between">
      <formula>0</formula>
      <formula>0.375</formula>
    </cfRule>
  </conditionalFormatting>
  <conditionalFormatting sqref="AC137">
    <cfRule type="cellIs" dxfId="12667" priority="18781" operator="between">
      <formula>0.56251</formula>
      <formula>0.7125</formula>
    </cfRule>
    <cfRule type="cellIs" dxfId="12666" priority="18782" operator="between">
      <formula>0.3751</formula>
      <formula>0.5625</formula>
    </cfRule>
    <cfRule type="cellIs" dxfId="12665" priority="18783" operator="greaterThan">
      <formula>0.751</formula>
    </cfRule>
    <cfRule type="cellIs" dxfId="12664" priority="18784" operator="between">
      <formula>0.71251</formula>
      <formula>0.75</formula>
    </cfRule>
    <cfRule type="cellIs" dxfId="12663" priority="18785" stopIfTrue="1" operator="between">
      <formula>0</formula>
      <formula>0.375</formula>
    </cfRule>
  </conditionalFormatting>
  <conditionalFormatting sqref="AB137">
    <cfRule type="cellIs" dxfId="12662" priority="18776" operator="between">
      <formula>0.56251</formula>
      <formula>0.7125</formula>
    </cfRule>
    <cfRule type="cellIs" dxfId="12661" priority="18777" operator="between">
      <formula>0.3751</formula>
      <formula>0.5625</formula>
    </cfRule>
    <cfRule type="cellIs" dxfId="12660" priority="18778" operator="greaterThan">
      <formula>0.751</formula>
    </cfRule>
    <cfRule type="cellIs" dxfId="12659" priority="18779" operator="between">
      <formula>0.71251</formula>
      <formula>0.75</formula>
    </cfRule>
    <cfRule type="cellIs" dxfId="12658" priority="18780" stopIfTrue="1" operator="between">
      <formula>0</formula>
      <formula>0.375</formula>
    </cfRule>
  </conditionalFormatting>
  <conditionalFormatting sqref="AG16 AI16 Z16">
    <cfRule type="cellIs" dxfId="12657" priority="18759" operator="between">
      <formula>0.76</formula>
      <formula>0.95</formula>
    </cfRule>
    <cfRule type="cellIs" dxfId="12656" priority="18760" operator="between">
      <formula>0.51</formula>
      <formula>0.75</formula>
    </cfRule>
    <cfRule type="cellIs" dxfId="12655" priority="18761" operator="greaterThan">
      <formula>1</formula>
    </cfRule>
    <cfRule type="cellIs" dxfId="12654" priority="18762" operator="between">
      <formula>0.95</formula>
      <formula>1</formula>
    </cfRule>
    <cfRule type="cellIs" dxfId="12653" priority="18763" stopIfTrue="1" operator="between">
      <formula>0</formula>
      <formula>0.5</formula>
    </cfRule>
  </conditionalFormatting>
  <conditionalFormatting sqref="R16:S16">
    <cfRule type="cellIs" dxfId="12652" priority="18754" operator="between">
      <formula>0.76</formula>
      <formula>0.95</formula>
    </cfRule>
    <cfRule type="cellIs" dxfId="12651" priority="18755" operator="between">
      <formula>0.51</formula>
      <formula>0.75</formula>
    </cfRule>
    <cfRule type="cellIs" dxfId="12650" priority="18756" operator="greaterThan">
      <formula>1</formula>
    </cfRule>
    <cfRule type="cellIs" dxfId="12649" priority="18757" operator="between">
      <formula>0.95</formula>
      <formula>1</formula>
    </cfRule>
    <cfRule type="cellIs" dxfId="12648" priority="18758" stopIfTrue="1" operator="between">
      <formula>0</formula>
      <formula>0.5</formula>
    </cfRule>
  </conditionalFormatting>
  <conditionalFormatting sqref="Y16">
    <cfRule type="cellIs" dxfId="12647" priority="18749" operator="between">
      <formula>0.76</formula>
      <formula>0.95</formula>
    </cfRule>
    <cfRule type="cellIs" dxfId="12646" priority="18750" operator="between">
      <formula>0.51</formula>
      <formula>0.75</formula>
    </cfRule>
    <cfRule type="cellIs" dxfId="12645" priority="18751" operator="greaterThan">
      <formula>1</formula>
    </cfRule>
    <cfRule type="cellIs" dxfId="12644" priority="18752" operator="between">
      <formula>0.95</formula>
      <formula>1</formula>
    </cfRule>
    <cfRule type="cellIs" dxfId="12643" priority="18753" stopIfTrue="1" operator="between">
      <formula>0</formula>
      <formula>0.5</formula>
    </cfRule>
  </conditionalFormatting>
  <conditionalFormatting sqref="AF16">
    <cfRule type="cellIs" dxfId="12642" priority="18744" operator="between">
      <formula>0.76</formula>
      <formula>0.95</formula>
    </cfRule>
    <cfRule type="cellIs" dxfId="12641" priority="18745" operator="between">
      <formula>0.51</formula>
      <formula>0.75</formula>
    </cfRule>
    <cfRule type="cellIs" dxfId="12640" priority="18746" operator="greaterThan">
      <formula>1</formula>
    </cfRule>
    <cfRule type="cellIs" dxfId="12639" priority="18747" operator="between">
      <formula>0.95</formula>
      <formula>1</formula>
    </cfRule>
    <cfRule type="cellIs" dxfId="12638" priority="18748" stopIfTrue="1" operator="between">
      <formula>0</formula>
      <formula>0.5</formula>
    </cfRule>
  </conditionalFormatting>
  <conditionalFormatting sqref="T16">
    <cfRule type="cellIs" dxfId="12637" priority="18739" operator="between">
      <formula>0.3751</formula>
      <formula>0.475</formula>
    </cfRule>
    <cfRule type="cellIs" dxfId="12636" priority="18740" operator="between">
      <formula>0.2551</formula>
      <formula>0.375</formula>
    </cfRule>
    <cfRule type="cellIs" dxfId="12635" priority="18741" operator="greaterThan">
      <formula>0.505</formula>
    </cfRule>
    <cfRule type="cellIs" dxfId="12634" priority="18742" operator="between">
      <formula>0.48</formula>
      <formula>0.5</formula>
    </cfRule>
    <cfRule type="cellIs" dxfId="12633" priority="18743" stopIfTrue="1" operator="between">
      <formula>0</formula>
      <formula>0.255</formula>
    </cfRule>
  </conditionalFormatting>
  <conditionalFormatting sqref="AA16:AC16">
    <cfRule type="cellIs" dxfId="12632" priority="18734" operator="between">
      <formula>0.56251</formula>
      <formula>0.7125</formula>
    </cfRule>
    <cfRule type="cellIs" dxfId="12631" priority="18735" operator="between">
      <formula>0.3751</formula>
      <formula>0.5625</formula>
    </cfRule>
    <cfRule type="cellIs" dxfId="12630" priority="18736" operator="greaterThan">
      <formula>0.751</formula>
    </cfRule>
    <cfRule type="cellIs" dxfId="12629" priority="18737" operator="between">
      <formula>0.71251</formula>
      <formula>0.75</formula>
    </cfRule>
    <cfRule type="cellIs" dxfId="12628" priority="18738" stopIfTrue="1" operator="between">
      <formula>0</formula>
      <formula>0.375</formula>
    </cfRule>
  </conditionalFormatting>
  <conditionalFormatting sqref="AH16">
    <cfRule type="cellIs" dxfId="12627" priority="18729" operator="between">
      <formula>0.76</formula>
      <formula>0.95</formula>
    </cfRule>
    <cfRule type="cellIs" dxfId="12626" priority="18730" operator="between">
      <formula>0.51</formula>
      <formula>0.75</formula>
    </cfRule>
    <cfRule type="cellIs" dxfId="12625" priority="18731" operator="greaterThan">
      <formula>1</formula>
    </cfRule>
    <cfRule type="cellIs" dxfId="12624" priority="18732" operator="between">
      <formula>0.95</formula>
      <formula>1</formula>
    </cfRule>
    <cfRule type="cellIs" dxfId="12623" priority="18733" stopIfTrue="1" operator="between">
      <formula>0</formula>
      <formula>0.5</formula>
    </cfRule>
  </conditionalFormatting>
  <conditionalFormatting sqref="U16:V16">
    <cfRule type="cellIs" dxfId="12622" priority="18719" operator="between">
      <formula>0.376</formula>
      <formula>0.475</formula>
    </cfRule>
    <cfRule type="cellIs" dxfId="12621" priority="18720" operator="between">
      <formula>0.2551</formula>
      <formula>0.3751</formula>
    </cfRule>
    <cfRule type="cellIs" dxfId="12620" priority="18721" operator="greaterThan">
      <formula>0.505</formula>
    </cfRule>
    <cfRule type="cellIs" dxfId="12619" priority="18722" operator="between">
      <formula>0.48</formula>
      <formula>0.5</formula>
    </cfRule>
    <cfRule type="cellIs" dxfId="12618" priority="18723" stopIfTrue="1" operator="between">
      <formula>0</formula>
      <formula>0.255</formula>
    </cfRule>
  </conditionalFormatting>
  <conditionalFormatting sqref="AG17 AI17 Z17">
    <cfRule type="cellIs" dxfId="12617" priority="18687" operator="between">
      <formula>0.76</formula>
      <formula>0.95</formula>
    </cfRule>
    <cfRule type="cellIs" dxfId="12616" priority="18688" operator="between">
      <formula>0.51</formula>
      <formula>0.75</formula>
    </cfRule>
    <cfRule type="cellIs" dxfId="12615" priority="18689" operator="greaterThan">
      <formula>1</formula>
    </cfRule>
    <cfRule type="cellIs" dxfId="12614" priority="18690" operator="between">
      <formula>0.95</formula>
      <formula>1</formula>
    </cfRule>
    <cfRule type="cellIs" dxfId="12613" priority="18691" stopIfTrue="1" operator="between">
      <formula>0</formula>
      <formula>0.5</formula>
    </cfRule>
  </conditionalFormatting>
  <conditionalFormatting sqref="R17:S17">
    <cfRule type="cellIs" dxfId="12612" priority="18682" operator="between">
      <formula>0.76</formula>
      <formula>0.95</formula>
    </cfRule>
    <cfRule type="cellIs" dxfId="12611" priority="18683" operator="between">
      <formula>0.51</formula>
      <formula>0.75</formula>
    </cfRule>
    <cfRule type="cellIs" dxfId="12610" priority="18684" operator="greaterThan">
      <formula>1</formula>
    </cfRule>
    <cfRule type="cellIs" dxfId="12609" priority="18685" operator="between">
      <formula>0.95</formula>
      <formula>1</formula>
    </cfRule>
    <cfRule type="cellIs" dxfId="12608" priority="18686" stopIfTrue="1" operator="between">
      <formula>0</formula>
      <formula>0.5</formula>
    </cfRule>
  </conditionalFormatting>
  <conditionalFormatting sqref="Y17">
    <cfRule type="cellIs" dxfId="12607" priority="18677" operator="between">
      <formula>0.76</formula>
      <formula>0.95</formula>
    </cfRule>
    <cfRule type="cellIs" dxfId="12606" priority="18678" operator="between">
      <formula>0.51</formula>
      <formula>0.75</formula>
    </cfRule>
    <cfRule type="cellIs" dxfId="12605" priority="18679" operator="greaterThan">
      <formula>1</formula>
    </cfRule>
    <cfRule type="cellIs" dxfId="12604" priority="18680" operator="between">
      <formula>0.95</formula>
      <formula>1</formula>
    </cfRule>
    <cfRule type="cellIs" dxfId="12603" priority="18681" stopIfTrue="1" operator="between">
      <formula>0</formula>
      <formula>0.5</formula>
    </cfRule>
  </conditionalFormatting>
  <conditionalFormatting sqref="AF17">
    <cfRule type="cellIs" dxfId="12602" priority="18672" operator="between">
      <formula>0.76</formula>
      <formula>0.95</formula>
    </cfRule>
    <cfRule type="cellIs" dxfId="12601" priority="18673" operator="between">
      <formula>0.51</formula>
      <formula>0.75</formula>
    </cfRule>
    <cfRule type="cellIs" dxfId="12600" priority="18674" operator="greaterThan">
      <formula>1</formula>
    </cfRule>
    <cfRule type="cellIs" dxfId="12599" priority="18675" operator="between">
      <formula>0.95</formula>
      <formula>1</formula>
    </cfRule>
    <cfRule type="cellIs" dxfId="12598" priority="18676" stopIfTrue="1" operator="between">
      <formula>0</formula>
      <formula>0.5</formula>
    </cfRule>
  </conditionalFormatting>
  <conditionalFormatting sqref="T17">
    <cfRule type="cellIs" dxfId="12597" priority="18667" operator="between">
      <formula>0.3751</formula>
      <formula>0.475</formula>
    </cfRule>
    <cfRule type="cellIs" dxfId="12596" priority="18668" operator="between">
      <formula>0.2551</formula>
      <formula>0.375</formula>
    </cfRule>
    <cfRule type="cellIs" dxfId="12595" priority="18669" operator="greaterThan">
      <formula>0.505</formula>
    </cfRule>
    <cfRule type="cellIs" dxfId="12594" priority="18670" operator="between">
      <formula>0.48</formula>
      <formula>0.5</formula>
    </cfRule>
    <cfRule type="cellIs" dxfId="12593" priority="18671" stopIfTrue="1" operator="between">
      <formula>0</formula>
      <formula>0.255</formula>
    </cfRule>
  </conditionalFormatting>
  <conditionalFormatting sqref="AA17:AC17">
    <cfRule type="cellIs" dxfId="12592" priority="18662" operator="between">
      <formula>0.56251</formula>
      <formula>0.7125</formula>
    </cfRule>
    <cfRule type="cellIs" dxfId="12591" priority="18663" operator="between">
      <formula>0.3751</formula>
      <formula>0.5625</formula>
    </cfRule>
    <cfRule type="cellIs" dxfId="12590" priority="18664" operator="greaterThan">
      <formula>0.751</formula>
    </cfRule>
    <cfRule type="cellIs" dxfId="12589" priority="18665" operator="between">
      <formula>0.71251</formula>
      <formula>0.75</formula>
    </cfRule>
    <cfRule type="cellIs" dxfId="12588" priority="18666" stopIfTrue="1" operator="between">
      <formula>0</formula>
      <formula>0.375</formula>
    </cfRule>
  </conditionalFormatting>
  <conditionalFormatting sqref="AH17">
    <cfRule type="cellIs" dxfId="12587" priority="18657" operator="between">
      <formula>0.76</formula>
      <formula>0.95</formula>
    </cfRule>
    <cfRule type="cellIs" dxfId="12586" priority="18658" operator="between">
      <formula>0.51</formula>
      <formula>0.75</formula>
    </cfRule>
    <cfRule type="cellIs" dxfId="12585" priority="18659" operator="greaterThan">
      <formula>1</formula>
    </cfRule>
    <cfRule type="cellIs" dxfId="12584" priority="18660" operator="between">
      <formula>0.95</formula>
      <formula>1</formula>
    </cfRule>
    <cfRule type="cellIs" dxfId="12583" priority="18661" stopIfTrue="1" operator="between">
      <formula>0</formula>
      <formula>0.5</formula>
    </cfRule>
  </conditionalFormatting>
  <conditionalFormatting sqref="U17:V17">
    <cfRule type="cellIs" dxfId="12582" priority="18647" operator="between">
      <formula>0.376</formula>
      <formula>0.475</formula>
    </cfRule>
    <cfRule type="cellIs" dxfId="12581" priority="18648" operator="between">
      <formula>0.2551</formula>
      <formula>0.3751</formula>
    </cfRule>
    <cfRule type="cellIs" dxfId="12580" priority="18649" operator="greaterThan">
      <formula>0.505</formula>
    </cfRule>
    <cfRule type="cellIs" dxfId="12579" priority="18650" operator="between">
      <formula>0.48</formula>
      <formula>0.5</formula>
    </cfRule>
    <cfRule type="cellIs" dxfId="12578" priority="18651" stopIfTrue="1" operator="between">
      <formula>0</formula>
      <formula>0.255</formula>
    </cfRule>
  </conditionalFormatting>
  <conditionalFormatting sqref="S210">
    <cfRule type="cellIs" dxfId="12577" priority="18605" operator="between">
      <formula>0.76</formula>
      <formula>0.95</formula>
    </cfRule>
    <cfRule type="cellIs" dxfId="12576" priority="18606" operator="between">
      <formula>0.51</formula>
      <formula>0.75</formula>
    </cfRule>
    <cfRule type="cellIs" dxfId="12575" priority="18607" operator="greaterThan">
      <formula>1</formula>
    </cfRule>
    <cfRule type="cellIs" dxfId="12574" priority="18608" operator="between">
      <formula>0.95</formula>
      <formula>1</formula>
    </cfRule>
    <cfRule type="cellIs" dxfId="12573" priority="18609" stopIfTrue="1" operator="between">
      <formula>0</formula>
      <formula>0.5</formula>
    </cfRule>
  </conditionalFormatting>
  <conditionalFormatting sqref="R210">
    <cfRule type="cellIs" dxfId="12572" priority="18600" operator="between">
      <formula>0.76</formula>
      <formula>0.95</formula>
    </cfRule>
    <cfRule type="cellIs" dxfId="12571" priority="18601" operator="between">
      <formula>0.51</formula>
      <formula>0.75</formula>
    </cfRule>
    <cfRule type="cellIs" dxfId="12570" priority="18602" operator="greaterThan">
      <formula>1</formula>
    </cfRule>
    <cfRule type="cellIs" dxfId="12569" priority="18603" operator="between">
      <formula>0.95</formula>
      <formula>1</formula>
    </cfRule>
    <cfRule type="cellIs" dxfId="12568" priority="18604" stopIfTrue="1" operator="between">
      <formula>0</formula>
      <formula>0.5</formula>
    </cfRule>
  </conditionalFormatting>
  <conditionalFormatting sqref="Y210">
    <cfRule type="cellIs" dxfId="12567" priority="18595" operator="between">
      <formula>0.76</formula>
      <formula>0.95</formula>
    </cfRule>
    <cfRule type="cellIs" dxfId="12566" priority="18596" operator="between">
      <formula>0.51</formula>
      <formula>0.75</formula>
    </cfRule>
    <cfRule type="cellIs" dxfId="12565" priority="18597" operator="greaterThan">
      <formula>1</formula>
    </cfRule>
    <cfRule type="cellIs" dxfId="12564" priority="18598" operator="between">
      <formula>0.95</formula>
      <formula>1</formula>
    </cfRule>
    <cfRule type="cellIs" dxfId="12563" priority="18599" stopIfTrue="1" operator="between">
      <formula>0</formula>
      <formula>0.5</formula>
    </cfRule>
  </conditionalFormatting>
  <conditionalFormatting sqref="AF210">
    <cfRule type="cellIs" dxfId="12562" priority="18590" operator="between">
      <formula>0.76</formula>
      <formula>0.95</formula>
    </cfRule>
    <cfRule type="cellIs" dxfId="12561" priority="18591" operator="between">
      <formula>0.51</formula>
      <formula>0.75</formula>
    </cfRule>
    <cfRule type="cellIs" dxfId="12560" priority="18592" operator="greaterThan">
      <formula>1</formula>
    </cfRule>
    <cfRule type="cellIs" dxfId="12559" priority="18593" operator="between">
      <formula>0.95</formula>
      <formula>1</formula>
    </cfRule>
    <cfRule type="cellIs" dxfId="12558" priority="18594" stopIfTrue="1" operator="between">
      <formula>0</formula>
      <formula>0.5</formula>
    </cfRule>
  </conditionalFormatting>
  <conditionalFormatting sqref="AH210">
    <cfRule type="cellIs" dxfId="12557" priority="18585" operator="between">
      <formula>0.76</formula>
      <formula>0.95</formula>
    </cfRule>
    <cfRule type="cellIs" dxfId="12556" priority="18586" operator="between">
      <formula>0.51</formula>
      <formula>0.75</formula>
    </cfRule>
    <cfRule type="cellIs" dxfId="12555" priority="18587" operator="greaterThan">
      <formula>1</formula>
    </cfRule>
    <cfRule type="cellIs" dxfId="12554" priority="18588" operator="between">
      <formula>0.95</formula>
      <formula>1</formula>
    </cfRule>
    <cfRule type="cellIs" dxfId="12553" priority="18589" stopIfTrue="1" operator="between">
      <formula>0</formula>
      <formula>0.5</formula>
    </cfRule>
  </conditionalFormatting>
  <conditionalFormatting sqref="T210">
    <cfRule type="cellIs" dxfId="12552" priority="18570" operator="between">
      <formula>0.3751</formula>
      <formula>0.475</formula>
    </cfRule>
    <cfRule type="cellIs" dxfId="12551" priority="18571" operator="between">
      <formula>0.2551</formula>
      <formula>0.375</formula>
    </cfRule>
    <cfRule type="cellIs" dxfId="12550" priority="18572" operator="greaterThan">
      <formula>0.505</formula>
    </cfRule>
    <cfRule type="cellIs" dxfId="12549" priority="18573" operator="between">
      <formula>0.48</formula>
      <formula>0.5</formula>
    </cfRule>
    <cfRule type="cellIs" dxfId="12548" priority="18574" stopIfTrue="1" operator="between">
      <formula>0</formula>
      <formula>0.255</formula>
    </cfRule>
  </conditionalFormatting>
  <conditionalFormatting sqref="U210:V210">
    <cfRule type="cellIs" dxfId="12547" priority="18565" operator="between">
      <formula>0.376</formula>
      <formula>0.475</formula>
    </cfRule>
    <cfRule type="cellIs" dxfId="12546" priority="18566" operator="between">
      <formula>0.2551</formula>
      <formula>0.3751</formula>
    </cfRule>
    <cfRule type="cellIs" dxfId="12545" priority="18567" operator="greaterThan">
      <formula>0.505</formula>
    </cfRule>
    <cfRule type="cellIs" dxfId="12544" priority="18568" operator="between">
      <formula>0.48</formula>
      <formula>0.5</formula>
    </cfRule>
    <cfRule type="cellIs" dxfId="12543" priority="18569" stopIfTrue="1" operator="between">
      <formula>0</formula>
      <formula>0.255</formula>
    </cfRule>
  </conditionalFormatting>
  <conditionalFormatting sqref="Z210">
    <cfRule type="cellIs" dxfId="12542" priority="18560" operator="between">
      <formula>0.76</formula>
      <formula>0.95</formula>
    </cfRule>
    <cfRule type="cellIs" dxfId="12541" priority="18561" operator="between">
      <formula>0.51</formula>
      <formula>0.75</formula>
    </cfRule>
    <cfRule type="cellIs" dxfId="12540" priority="18562" operator="greaterThan">
      <formula>1</formula>
    </cfRule>
    <cfRule type="cellIs" dxfId="12539" priority="18563" operator="between">
      <formula>0.95</formula>
      <formula>1</formula>
    </cfRule>
    <cfRule type="cellIs" dxfId="12538" priority="18564" stopIfTrue="1" operator="between">
      <formula>0</formula>
      <formula>0.5</formula>
    </cfRule>
  </conditionalFormatting>
  <conditionalFormatting sqref="AG210">
    <cfRule type="cellIs" dxfId="12537" priority="18555" operator="between">
      <formula>0.76</formula>
      <formula>0.95</formula>
    </cfRule>
    <cfRule type="cellIs" dxfId="12536" priority="18556" operator="between">
      <formula>0.51</formula>
      <formula>0.75</formula>
    </cfRule>
    <cfRule type="cellIs" dxfId="12535" priority="18557" operator="greaterThan">
      <formula>1</formula>
    </cfRule>
    <cfRule type="cellIs" dxfId="12534" priority="18558" operator="between">
      <formula>0.95</formula>
      <formula>1</formula>
    </cfRule>
    <cfRule type="cellIs" dxfId="12533" priority="18559" stopIfTrue="1" operator="between">
      <formula>0</formula>
      <formula>0.5</formula>
    </cfRule>
  </conditionalFormatting>
  <conditionalFormatting sqref="AI210">
    <cfRule type="cellIs" dxfId="12532" priority="18550" operator="between">
      <formula>0.76</formula>
      <formula>0.95</formula>
    </cfRule>
    <cfRule type="cellIs" dxfId="12531" priority="18551" operator="between">
      <formula>0.51</formula>
      <formula>0.75</formula>
    </cfRule>
    <cfRule type="cellIs" dxfId="12530" priority="18552" operator="greaterThan">
      <formula>1</formula>
    </cfRule>
    <cfRule type="cellIs" dxfId="12529" priority="18553" operator="between">
      <formula>0.95</formula>
      <formula>1</formula>
    </cfRule>
    <cfRule type="cellIs" dxfId="12528" priority="18554" stopIfTrue="1" operator="between">
      <formula>0</formula>
      <formula>0.5</formula>
    </cfRule>
  </conditionalFormatting>
  <conditionalFormatting sqref="AA210">
    <cfRule type="cellIs" dxfId="12527" priority="18545" operator="between">
      <formula>0.56251</formula>
      <formula>0.7125</formula>
    </cfRule>
    <cfRule type="cellIs" dxfId="12526" priority="18546" operator="between">
      <formula>0.3751</formula>
      <formula>0.5625</formula>
    </cfRule>
    <cfRule type="cellIs" dxfId="12525" priority="18547" operator="greaterThan">
      <formula>0.751</formula>
    </cfRule>
    <cfRule type="cellIs" dxfId="12524" priority="18548" operator="between">
      <formula>0.71251</formula>
      <formula>0.75</formula>
    </cfRule>
    <cfRule type="cellIs" dxfId="12523" priority="18549" stopIfTrue="1" operator="between">
      <formula>0</formula>
      <formula>0.375</formula>
    </cfRule>
  </conditionalFormatting>
  <conditionalFormatting sqref="AC210">
    <cfRule type="cellIs" dxfId="12522" priority="18540" operator="between">
      <formula>0.56251</formula>
      <formula>0.7125</formula>
    </cfRule>
    <cfRule type="cellIs" dxfId="12521" priority="18541" operator="between">
      <formula>0.3751</formula>
      <formula>0.5625</formula>
    </cfRule>
    <cfRule type="cellIs" dxfId="12520" priority="18542" operator="greaterThan">
      <formula>0.751</formula>
    </cfRule>
    <cfRule type="cellIs" dxfId="12519" priority="18543" operator="between">
      <formula>0.71251</formula>
      <formula>0.75</formula>
    </cfRule>
    <cfRule type="cellIs" dxfId="12518" priority="18544" stopIfTrue="1" operator="between">
      <formula>0</formula>
      <formula>0.375</formula>
    </cfRule>
  </conditionalFormatting>
  <conditionalFormatting sqref="AB210">
    <cfRule type="cellIs" dxfId="12517" priority="18535" operator="between">
      <formula>0.56251</formula>
      <formula>0.7125</formula>
    </cfRule>
    <cfRule type="cellIs" dxfId="12516" priority="18536" operator="between">
      <formula>0.3751</formula>
      <formula>0.5625</formula>
    </cfRule>
    <cfRule type="cellIs" dxfId="12515" priority="18537" operator="greaterThan">
      <formula>0.751</formula>
    </cfRule>
    <cfRule type="cellIs" dxfId="12514" priority="18538" operator="between">
      <formula>0.71251</formula>
      <formula>0.75</formula>
    </cfRule>
    <cfRule type="cellIs" dxfId="12513" priority="18539" stopIfTrue="1" operator="between">
      <formula>0</formula>
      <formula>0.375</formula>
    </cfRule>
  </conditionalFormatting>
  <conditionalFormatting sqref="AG139 AI139 S139 Z139">
    <cfRule type="cellIs" dxfId="12512" priority="18518" operator="between">
      <formula>0.76</formula>
      <formula>0.95</formula>
    </cfRule>
    <cfRule type="cellIs" dxfId="12511" priority="18519" operator="between">
      <formula>0.51</formula>
      <formula>0.75</formula>
    </cfRule>
    <cfRule type="cellIs" dxfId="12510" priority="18520" operator="greaterThan">
      <formula>1</formula>
    </cfRule>
    <cfRule type="cellIs" dxfId="12509" priority="18521" operator="between">
      <formula>0.95</formula>
      <formula>1</formula>
    </cfRule>
    <cfRule type="cellIs" dxfId="12508" priority="18522" stopIfTrue="1" operator="between">
      <formula>0</formula>
      <formula>0.5</formula>
    </cfRule>
  </conditionalFormatting>
  <conditionalFormatting sqref="R139">
    <cfRule type="cellIs" dxfId="12507" priority="18508" operator="between">
      <formula>0.76</formula>
      <formula>0.95</formula>
    </cfRule>
    <cfRule type="cellIs" dxfId="12506" priority="18509" operator="between">
      <formula>0.51</formula>
      <formula>0.75</formula>
    </cfRule>
    <cfRule type="cellIs" dxfId="12505" priority="18510" operator="greaterThan">
      <formula>1</formula>
    </cfRule>
    <cfRule type="cellIs" dxfId="12504" priority="18511" operator="between">
      <formula>0.95</formula>
      <formula>1</formula>
    </cfRule>
    <cfRule type="cellIs" dxfId="12503" priority="18512" stopIfTrue="1" operator="between">
      <formula>0</formula>
      <formula>0.5</formula>
    </cfRule>
  </conditionalFormatting>
  <conditionalFormatting sqref="Y139">
    <cfRule type="cellIs" dxfId="12502" priority="18503" operator="between">
      <formula>0.76</formula>
      <formula>0.95</formula>
    </cfRule>
    <cfRule type="cellIs" dxfId="12501" priority="18504" operator="between">
      <formula>0.51</formula>
      <formula>0.75</formula>
    </cfRule>
    <cfRule type="cellIs" dxfId="12500" priority="18505" operator="greaterThan">
      <formula>1</formula>
    </cfRule>
    <cfRule type="cellIs" dxfId="12499" priority="18506" operator="between">
      <formula>0.95</formula>
      <formula>1</formula>
    </cfRule>
    <cfRule type="cellIs" dxfId="12498" priority="18507" stopIfTrue="1" operator="between">
      <formula>0</formula>
      <formula>0.5</formula>
    </cfRule>
  </conditionalFormatting>
  <conditionalFormatting sqref="AF139">
    <cfRule type="cellIs" dxfId="12497" priority="18498" operator="between">
      <formula>0.76</formula>
      <formula>0.95</formula>
    </cfRule>
    <cfRule type="cellIs" dxfId="12496" priority="18499" operator="between">
      <formula>0.51</formula>
      <formula>0.75</formula>
    </cfRule>
    <cfRule type="cellIs" dxfId="12495" priority="18500" operator="greaterThan">
      <formula>1</formula>
    </cfRule>
    <cfRule type="cellIs" dxfId="12494" priority="18501" operator="between">
      <formula>0.95</formula>
      <formula>1</formula>
    </cfRule>
    <cfRule type="cellIs" dxfId="12493" priority="18502" stopIfTrue="1" operator="between">
      <formula>0</formula>
      <formula>0.5</formula>
    </cfRule>
  </conditionalFormatting>
  <conditionalFormatting sqref="AH139">
    <cfRule type="cellIs" dxfId="12492" priority="18493" operator="between">
      <formula>0.76</formula>
      <formula>0.95</formula>
    </cfRule>
    <cfRule type="cellIs" dxfId="12491" priority="18494" operator="between">
      <formula>0.51</formula>
      <formula>0.75</formula>
    </cfRule>
    <cfRule type="cellIs" dxfId="12490" priority="18495" operator="greaterThan">
      <formula>1</formula>
    </cfRule>
    <cfRule type="cellIs" dxfId="12489" priority="18496" operator="between">
      <formula>0.95</formula>
      <formula>1</formula>
    </cfRule>
    <cfRule type="cellIs" dxfId="12488" priority="18497" stopIfTrue="1" operator="between">
      <formula>0</formula>
      <formula>0.5</formula>
    </cfRule>
  </conditionalFormatting>
  <conditionalFormatting sqref="T139">
    <cfRule type="cellIs" dxfId="12487" priority="18478" operator="between">
      <formula>0.3751</formula>
      <formula>0.475</formula>
    </cfRule>
    <cfRule type="cellIs" dxfId="12486" priority="18479" operator="between">
      <formula>0.2551</formula>
      <formula>0.375</formula>
    </cfRule>
    <cfRule type="cellIs" dxfId="12485" priority="18480" operator="greaterThan">
      <formula>0.505</formula>
    </cfRule>
    <cfRule type="cellIs" dxfId="12484" priority="18481" operator="between">
      <formula>0.48</formula>
      <formula>0.5</formula>
    </cfRule>
    <cfRule type="cellIs" dxfId="12483" priority="18482" stopIfTrue="1" operator="between">
      <formula>0</formula>
      <formula>0.255</formula>
    </cfRule>
  </conditionalFormatting>
  <conditionalFormatting sqref="U139:V139">
    <cfRule type="cellIs" dxfId="12482" priority="18473" operator="between">
      <formula>0.376</formula>
      <formula>0.475</formula>
    </cfRule>
    <cfRule type="cellIs" dxfId="12481" priority="18474" operator="between">
      <formula>0.2551</formula>
      <formula>0.3751</formula>
    </cfRule>
    <cfRule type="cellIs" dxfId="12480" priority="18475" operator="greaterThan">
      <formula>0.505</formula>
    </cfRule>
    <cfRule type="cellIs" dxfId="12479" priority="18476" operator="between">
      <formula>0.48</formula>
      <formula>0.5</formula>
    </cfRule>
    <cfRule type="cellIs" dxfId="12478" priority="18477" stopIfTrue="1" operator="between">
      <formula>0</formula>
      <formula>0.255</formula>
    </cfRule>
  </conditionalFormatting>
  <conditionalFormatting sqref="AA139">
    <cfRule type="cellIs" dxfId="12477" priority="18468" operator="between">
      <formula>0.56251</formula>
      <formula>0.7125</formula>
    </cfRule>
    <cfRule type="cellIs" dxfId="12476" priority="18469" operator="between">
      <formula>0.3751</formula>
      <formula>0.5625</formula>
    </cfRule>
    <cfRule type="cellIs" dxfId="12475" priority="18470" operator="greaterThan">
      <formula>0.751</formula>
    </cfRule>
    <cfRule type="cellIs" dxfId="12474" priority="18471" operator="between">
      <formula>0.71251</formula>
      <formula>0.75</formula>
    </cfRule>
    <cfRule type="cellIs" dxfId="12473" priority="18472" stopIfTrue="1" operator="between">
      <formula>0</formula>
      <formula>0.375</formula>
    </cfRule>
  </conditionalFormatting>
  <conditionalFormatting sqref="AC139">
    <cfRule type="cellIs" dxfId="12472" priority="18463" operator="between">
      <formula>0.56251</formula>
      <formula>0.7125</formula>
    </cfRule>
    <cfRule type="cellIs" dxfId="12471" priority="18464" operator="between">
      <formula>0.3751</formula>
      <formula>0.5625</formula>
    </cfRule>
    <cfRule type="cellIs" dxfId="12470" priority="18465" operator="greaterThan">
      <formula>0.751</formula>
    </cfRule>
    <cfRule type="cellIs" dxfId="12469" priority="18466" operator="between">
      <formula>0.71251</formula>
      <formula>0.75</formula>
    </cfRule>
    <cfRule type="cellIs" dxfId="12468" priority="18467" stopIfTrue="1" operator="between">
      <formula>0</formula>
      <formula>0.375</formula>
    </cfRule>
  </conditionalFormatting>
  <conditionalFormatting sqref="AB139">
    <cfRule type="cellIs" dxfId="12467" priority="18458" operator="between">
      <formula>0.56251</formula>
      <formula>0.7125</formula>
    </cfRule>
    <cfRule type="cellIs" dxfId="12466" priority="18459" operator="between">
      <formula>0.3751</formula>
      <formula>0.5625</formula>
    </cfRule>
    <cfRule type="cellIs" dxfId="12465" priority="18460" operator="greaterThan">
      <formula>0.751</formula>
    </cfRule>
    <cfRule type="cellIs" dxfId="12464" priority="18461" operator="between">
      <formula>0.71251</formula>
      <formula>0.75</formula>
    </cfRule>
    <cfRule type="cellIs" dxfId="12463" priority="18462" stopIfTrue="1" operator="between">
      <formula>0</formula>
      <formula>0.375</formula>
    </cfRule>
  </conditionalFormatting>
  <conditionalFormatting sqref="S140:S143 Z140:Z143 AG140:AG143 AI140:AI143">
    <cfRule type="cellIs" dxfId="12462" priority="18441" operator="between">
      <formula>0.76</formula>
      <formula>0.95</formula>
    </cfRule>
    <cfRule type="cellIs" dxfId="12461" priority="18442" operator="between">
      <formula>0.51</formula>
      <formula>0.75</formula>
    </cfRule>
    <cfRule type="cellIs" dxfId="12460" priority="18443" operator="greaterThan">
      <formula>1</formula>
    </cfRule>
    <cfRule type="cellIs" dxfId="12459" priority="18444" operator="between">
      <formula>0.95</formula>
      <formula>1</formula>
    </cfRule>
    <cfRule type="cellIs" dxfId="12458" priority="18445" stopIfTrue="1" operator="between">
      <formula>0</formula>
      <formula>0.5</formula>
    </cfRule>
  </conditionalFormatting>
  <conditionalFormatting sqref="R140:R143">
    <cfRule type="cellIs" dxfId="12457" priority="18431" operator="between">
      <formula>0.76</formula>
      <formula>0.95</formula>
    </cfRule>
    <cfRule type="cellIs" dxfId="12456" priority="18432" operator="between">
      <formula>0.51</formula>
      <formula>0.75</formula>
    </cfRule>
    <cfRule type="cellIs" dxfId="12455" priority="18433" operator="greaterThan">
      <formula>1</formula>
    </cfRule>
    <cfRule type="cellIs" dxfId="12454" priority="18434" operator="between">
      <formula>0.95</formula>
      <formula>1</formula>
    </cfRule>
    <cfRule type="cellIs" dxfId="12453" priority="18435" stopIfTrue="1" operator="between">
      <formula>0</formula>
      <formula>0.5</formula>
    </cfRule>
  </conditionalFormatting>
  <conditionalFormatting sqref="Y140:Y143">
    <cfRule type="cellIs" dxfId="12452" priority="18426" operator="between">
      <formula>0.76</formula>
      <formula>0.95</formula>
    </cfRule>
    <cfRule type="cellIs" dxfId="12451" priority="18427" operator="between">
      <formula>0.51</formula>
      <formula>0.75</formula>
    </cfRule>
    <cfRule type="cellIs" dxfId="12450" priority="18428" operator="greaterThan">
      <formula>1</formula>
    </cfRule>
    <cfRule type="cellIs" dxfId="12449" priority="18429" operator="between">
      <formula>0.95</formula>
      <formula>1</formula>
    </cfRule>
    <cfRule type="cellIs" dxfId="12448" priority="18430" stopIfTrue="1" operator="between">
      <formula>0</formula>
      <formula>0.5</formula>
    </cfRule>
  </conditionalFormatting>
  <conditionalFormatting sqref="AF140:AF143">
    <cfRule type="cellIs" dxfId="12447" priority="18421" operator="between">
      <formula>0.76</formula>
      <formula>0.95</formula>
    </cfRule>
    <cfRule type="cellIs" dxfId="12446" priority="18422" operator="between">
      <formula>0.51</formula>
      <formula>0.75</formula>
    </cfRule>
    <cfRule type="cellIs" dxfId="12445" priority="18423" operator="greaterThan">
      <formula>1</formula>
    </cfRule>
    <cfRule type="cellIs" dxfId="12444" priority="18424" operator="between">
      <formula>0.95</formula>
      <formula>1</formula>
    </cfRule>
    <cfRule type="cellIs" dxfId="12443" priority="18425" stopIfTrue="1" operator="between">
      <formula>0</formula>
      <formula>0.5</formula>
    </cfRule>
  </conditionalFormatting>
  <conditionalFormatting sqref="AH140:AH143">
    <cfRule type="cellIs" dxfId="12442" priority="18416" operator="between">
      <formula>0.76</formula>
      <formula>0.95</formula>
    </cfRule>
    <cfRule type="cellIs" dxfId="12441" priority="18417" operator="between">
      <formula>0.51</formula>
      <formula>0.75</formula>
    </cfRule>
    <cfRule type="cellIs" dxfId="12440" priority="18418" operator="greaterThan">
      <formula>1</formula>
    </cfRule>
    <cfRule type="cellIs" dxfId="12439" priority="18419" operator="between">
      <formula>0.95</formula>
      <formula>1</formula>
    </cfRule>
    <cfRule type="cellIs" dxfId="12438" priority="18420" stopIfTrue="1" operator="between">
      <formula>0</formula>
      <formula>0.5</formula>
    </cfRule>
  </conditionalFormatting>
  <conditionalFormatting sqref="T140:T143">
    <cfRule type="cellIs" dxfId="12437" priority="18401" operator="between">
      <formula>0.3751</formula>
      <formula>0.475</formula>
    </cfRule>
    <cfRule type="cellIs" dxfId="12436" priority="18402" operator="between">
      <formula>0.2551</formula>
      <formula>0.375</formula>
    </cfRule>
    <cfRule type="cellIs" dxfId="12435" priority="18403" operator="greaterThan">
      <formula>0.505</formula>
    </cfRule>
    <cfRule type="cellIs" dxfId="12434" priority="18404" operator="between">
      <formula>0.48</formula>
      <formula>0.5</formula>
    </cfRule>
    <cfRule type="cellIs" dxfId="12433" priority="18405" stopIfTrue="1" operator="between">
      <formula>0</formula>
      <formula>0.255</formula>
    </cfRule>
  </conditionalFormatting>
  <conditionalFormatting sqref="U140:V143">
    <cfRule type="cellIs" dxfId="12432" priority="18396" operator="between">
      <formula>0.376</formula>
      <formula>0.475</formula>
    </cfRule>
    <cfRule type="cellIs" dxfId="12431" priority="18397" operator="between">
      <formula>0.2551</formula>
      <formula>0.3751</formula>
    </cfRule>
    <cfRule type="cellIs" dxfId="12430" priority="18398" operator="greaterThan">
      <formula>0.505</formula>
    </cfRule>
    <cfRule type="cellIs" dxfId="12429" priority="18399" operator="between">
      <formula>0.48</formula>
      <formula>0.5</formula>
    </cfRule>
    <cfRule type="cellIs" dxfId="12428" priority="18400" stopIfTrue="1" operator="between">
      <formula>0</formula>
      <formula>0.255</formula>
    </cfRule>
  </conditionalFormatting>
  <conditionalFormatting sqref="AA140:AA143">
    <cfRule type="cellIs" dxfId="12427" priority="18391" operator="between">
      <formula>0.56251</formula>
      <formula>0.7125</formula>
    </cfRule>
    <cfRule type="cellIs" dxfId="12426" priority="18392" operator="between">
      <formula>0.3751</formula>
      <formula>0.5625</formula>
    </cfRule>
    <cfRule type="cellIs" dxfId="12425" priority="18393" operator="greaterThan">
      <formula>0.751</formula>
    </cfRule>
    <cfRule type="cellIs" dxfId="12424" priority="18394" operator="between">
      <formula>0.71251</formula>
      <formula>0.75</formula>
    </cfRule>
    <cfRule type="cellIs" dxfId="12423" priority="18395" stopIfTrue="1" operator="between">
      <formula>0</formula>
      <formula>0.375</formula>
    </cfRule>
  </conditionalFormatting>
  <conditionalFormatting sqref="AC140:AC143">
    <cfRule type="cellIs" dxfId="12422" priority="18386" operator="between">
      <formula>0.56251</formula>
      <formula>0.7125</formula>
    </cfRule>
    <cfRule type="cellIs" dxfId="12421" priority="18387" operator="between">
      <formula>0.3751</formula>
      <formula>0.5625</formula>
    </cfRule>
    <cfRule type="cellIs" dxfId="12420" priority="18388" operator="greaterThan">
      <formula>0.751</formula>
    </cfRule>
    <cfRule type="cellIs" dxfId="12419" priority="18389" operator="between">
      <formula>0.71251</formula>
      <formula>0.75</formula>
    </cfRule>
    <cfRule type="cellIs" dxfId="12418" priority="18390" stopIfTrue="1" operator="between">
      <formula>0</formula>
      <formula>0.375</formula>
    </cfRule>
  </conditionalFormatting>
  <conditionalFormatting sqref="AB140:AB143">
    <cfRule type="cellIs" dxfId="12417" priority="18381" operator="between">
      <formula>0.56251</formula>
      <formula>0.7125</formula>
    </cfRule>
    <cfRule type="cellIs" dxfId="12416" priority="18382" operator="between">
      <formula>0.3751</formula>
      <formula>0.5625</formula>
    </cfRule>
    <cfRule type="cellIs" dxfId="12415" priority="18383" operator="greaterThan">
      <formula>0.751</formula>
    </cfRule>
    <cfRule type="cellIs" dxfId="12414" priority="18384" operator="between">
      <formula>0.71251</formula>
      <formula>0.75</formula>
    </cfRule>
    <cfRule type="cellIs" dxfId="12413" priority="18385" stopIfTrue="1" operator="between">
      <formula>0</formula>
      <formula>0.375</formula>
    </cfRule>
  </conditionalFormatting>
  <conditionalFormatting sqref="AG18 AI18 Z18">
    <cfRule type="cellIs" dxfId="12412" priority="18364" operator="between">
      <formula>0.76</formula>
      <formula>0.95</formula>
    </cfRule>
    <cfRule type="cellIs" dxfId="12411" priority="18365" operator="between">
      <formula>0.51</formula>
      <formula>0.75</formula>
    </cfRule>
    <cfRule type="cellIs" dxfId="12410" priority="18366" operator="greaterThan">
      <formula>1</formula>
    </cfRule>
    <cfRule type="cellIs" dxfId="12409" priority="18367" operator="between">
      <formula>0.95</formula>
      <formula>1</formula>
    </cfRule>
    <cfRule type="cellIs" dxfId="12408" priority="18368" stopIfTrue="1" operator="between">
      <formula>0</formula>
      <formula>0.5</formula>
    </cfRule>
  </conditionalFormatting>
  <conditionalFormatting sqref="R18:S18">
    <cfRule type="cellIs" dxfId="12407" priority="18359" operator="between">
      <formula>0.76</formula>
      <formula>0.95</formula>
    </cfRule>
    <cfRule type="cellIs" dxfId="12406" priority="18360" operator="between">
      <formula>0.51</formula>
      <formula>0.75</formula>
    </cfRule>
    <cfRule type="cellIs" dxfId="12405" priority="18361" operator="greaterThan">
      <formula>1</formula>
    </cfRule>
    <cfRule type="cellIs" dxfId="12404" priority="18362" operator="between">
      <formula>0.95</formula>
      <formula>1</formula>
    </cfRule>
    <cfRule type="cellIs" dxfId="12403" priority="18363" stopIfTrue="1" operator="between">
      <formula>0</formula>
      <formula>0.5</formula>
    </cfRule>
  </conditionalFormatting>
  <conditionalFormatting sqref="Y18">
    <cfRule type="cellIs" dxfId="12402" priority="18354" operator="between">
      <formula>0.76</formula>
      <formula>0.95</formula>
    </cfRule>
    <cfRule type="cellIs" dxfId="12401" priority="18355" operator="between">
      <formula>0.51</formula>
      <formula>0.75</formula>
    </cfRule>
    <cfRule type="cellIs" dxfId="12400" priority="18356" operator="greaterThan">
      <formula>1</formula>
    </cfRule>
    <cfRule type="cellIs" dxfId="12399" priority="18357" operator="between">
      <formula>0.95</formula>
      <formula>1</formula>
    </cfRule>
    <cfRule type="cellIs" dxfId="12398" priority="18358" stopIfTrue="1" operator="between">
      <formula>0</formula>
      <formula>0.5</formula>
    </cfRule>
  </conditionalFormatting>
  <conditionalFormatting sqref="AF18">
    <cfRule type="cellIs" dxfId="12397" priority="18349" operator="between">
      <formula>0.76</formula>
      <formula>0.95</formula>
    </cfRule>
    <cfRule type="cellIs" dxfId="12396" priority="18350" operator="between">
      <formula>0.51</formula>
      <formula>0.75</formula>
    </cfRule>
    <cfRule type="cellIs" dxfId="12395" priority="18351" operator="greaterThan">
      <formula>1</formula>
    </cfRule>
    <cfRule type="cellIs" dxfId="12394" priority="18352" operator="between">
      <formula>0.95</formula>
      <formula>1</formula>
    </cfRule>
    <cfRule type="cellIs" dxfId="12393" priority="18353" stopIfTrue="1" operator="between">
      <formula>0</formula>
      <formula>0.5</formula>
    </cfRule>
  </conditionalFormatting>
  <conditionalFormatting sqref="T18">
    <cfRule type="cellIs" dxfId="12392" priority="18344" operator="between">
      <formula>0.3751</formula>
      <formula>0.475</formula>
    </cfRule>
    <cfRule type="cellIs" dxfId="12391" priority="18345" operator="between">
      <formula>0.2551</formula>
      <formula>0.375</formula>
    </cfRule>
    <cfRule type="cellIs" dxfId="12390" priority="18346" operator="greaterThan">
      <formula>0.505</formula>
    </cfRule>
    <cfRule type="cellIs" dxfId="12389" priority="18347" operator="between">
      <formula>0.48</formula>
      <formula>0.5</formula>
    </cfRule>
    <cfRule type="cellIs" dxfId="12388" priority="18348" stopIfTrue="1" operator="between">
      <formula>0</formula>
      <formula>0.255</formula>
    </cfRule>
  </conditionalFormatting>
  <conditionalFormatting sqref="AA18:AC18">
    <cfRule type="cellIs" dxfId="12387" priority="18339" operator="between">
      <formula>0.56251</formula>
      <formula>0.7125</formula>
    </cfRule>
    <cfRule type="cellIs" dxfId="12386" priority="18340" operator="between">
      <formula>0.3751</formula>
      <formula>0.5625</formula>
    </cfRule>
    <cfRule type="cellIs" dxfId="12385" priority="18341" operator="greaterThan">
      <formula>0.751</formula>
    </cfRule>
    <cfRule type="cellIs" dxfId="12384" priority="18342" operator="between">
      <formula>0.71251</formula>
      <formula>0.75</formula>
    </cfRule>
    <cfRule type="cellIs" dxfId="12383" priority="18343" stopIfTrue="1" operator="between">
      <formula>0</formula>
      <formula>0.375</formula>
    </cfRule>
  </conditionalFormatting>
  <conditionalFormatting sqref="AH18">
    <cfRule type="cellIs" dxfId="12382" priority="18334" operator="between">
      <formula>0.76</formula>
      <formula>0.95</formula>
    </cfRule>
    <cfRule type="cellIs" dxfId="12381" priority="18335" operator="between">
      <formula>0.51</formula>
      <formula>0.75</formula>
    </cfRule>
    <cfRule type="cellIs" dxfId="12380" priority="18336" operator="greaterThan">
      <formula>1</formula>
    </cfRule>
    <cfRule type="cellIs" dxfId="12379" priority="18337" operator="between">
      <formula>0.95</formula>
      <formula>1</formula>
    </cfRule>
    <cfRule type="cellIs" dxfId="12378" priority="18338" stopIfTrue="1" operator="between">
      <formula>0</formula>
      <formula>0.5</formula>
    </cfRule>
  </conditionalFormatting>
  <conditionalFormatting sqref="U18:V18">
    <cfRule type="cellIs" dxfId="12377" priority="18324" operator="between">
      <formula>0.376</formula>
      <formula>0.475</formula>
    </cfRule>
    <cfRule type="cellIs" dxfId="12376" priority="18325" operator="between">
      <formula>0.2551</formula>
      <formula>0.3751</formula>
    </cfRule>
    <cfRule type="cellIs" dxfId="12375" priority="18326" operator="greaterThan">
      <formula>0.505</formula>
    </cfRule>
    <cfRule type="cellIs" dxfId="12374" priority="18327" operator="between">
      <formula>0.48</formula>
      <formula>0.5</formula>
    </cfRule>
    <cfRule type="cellIs" dxfId="12373" priority="18328" stopIfTrue="1" operator="between">
      <formula>0</formula>
      <formula>0.255</formula>
    </cfRule>
  </conditionalFormatting>
  <conditionalFormatting sqref="AG22 AI22 Z22">
    <cfRule type="cellIs" dxfId="12372" priority="18292" operator="between">
      <formula>0.76</formula>
      <formula>0.95</formula>
    </cfRule>
    <cfRule type="cellIs" dxfId="12371" priority="18293" operator="between">
      <formula>0.51</formula>
      <formula>0.75</formula>
    </cfRule>
    <cfRule type="cellIs" dxfId="12370" priority="18294" operator="greaterThan">
      <formula>1</formula>
    </cfRule>
    <cfRule type="cellIs" dxfId="12369" priority="18295" operator="between">
      <formula>0.95</formula>
      <formula>1</formula>
    </cfRule>
    <cfRule type="cellIs" dxfId="12368" priority="18296" stopIfTrue="1" operator="between">
      <formula>0</formula>
      <formula>0.5</formula>
    </cfRule>
  </conditionalFormatting>
  <conditionalFormatting sqref="R22:S22">
    <cfRule type="cellIs" dxfId="12367" priority="18287" operator="between">
      <formula>0.76</formula>
      <formula>0.95</formula>
    </cfRule>
    <cfRule type="cellIs" dxfId="12366" priority="18288" operator="between">
      <formula>0.51</formula>
      <formula>0.75</formula>
    </cfRule>
    <cfRule type="cellIs" dxfId="12365" priority="18289" operator="greaterThan">
      <formula>1</formula>
    </cfRule>
    <cfRule type="cellIs" dxfId="12364" priority="18290" operator="between">
      <formula>0.95</formula>
      <formula>1</formula>
    </cfRule>
    <cfRule type="cellIs" dxfId="12363" priority="18291" stopIfTrue="1" operator="between">
      <formula>0</formula>
      <formula>0.5</formula>
    </cfRule>
  </conditionalFormatting>
  <conditionalFormatting sqref="Y22">
    <cfRule type="cellIs" dxfId="12362" priority="18282" operator="between">
      <formula>0.76</formula>
      <formula>0.95</formula>
    </cfRule>
    <cfRule type="cellIs" dxfId="12361" priority="18283" operator="between">
      <formula>0.51</formula>
      <formula>0.75</formula>
    </cfRule>
    <cfRule type="cellIs" dxfId="12360" priority="18284" operator="greaterThan">
      <formula>1</formula>
    </cfRule>
    <cfRule type="cellIs" dxfId="12359" priority="18285" operator="between">
      <formula>0.95</formula>
      <formula>1</formula>
    </cfRule>
    <cfRule type="cellIs" dxfId="12358" priority="18286" stopIfTrue="1" operator="between">
      <formula>0</formula>
      <formula>0.5</formula>
    </cfRule>
  </conditionalFormatting>
  <conditionalFormatting sqref="AF22">
    <cfRule type="cellIs" dxfId="12357" priority="18277" operator="between">
      <formula>0.76</formula>
      <formula>0.95</formula>
    </cfRule>
    <cfRule type="cellIs" dxfId="12356" priority="18278" operator="between">
      <formula>0.51</formula>
      <formula>0.75</formula>
    </cfRule>
    <cfRule type="cellIs" dxfId="12355" priority="18279" operator="greaterThan">
      <formula>1</formula>
    </cfRule>
    <cfRule type="cellIs" dxfId="12354" priority="18280" operator="between">
      <formula>0.95</formula>
      <formula>1</formula>
    </cfRule>
    <cfRule type="cellIs" dxfId="12353" priority="18281" stopIfTrue="1" operator="between">
      <formula>0</formula>
      <formula>0.5</formula>
    </cfRule>
  </conditionalFormatting>
  <conditionalFormatting sqref="T22">
    <cfRule type="cellIs" dxfId="12352" priority="18272" operator="between">
      <formula>0.3751</formula>
      <formula>0.475</formula>
    </cfRule>
    <cfRule type="cellIs" dxfId="12351" priority="18273" operator="between">
      <formula>0.2551</formula>
      <formula>0.375</formula>
    </cfRule>
    <cfRule type="cellIs" dxfId="12350" priority="18274" operator="greaterThan">
      <formula>0.505</formula>
    </cfRule>
    <cfRule type="cellIs" dxfId="12349" priority="18275" operator="between">
      <formula>0.48</formula>
      <formula>0.5</formula>
    </cfRule>
    <cfRule type="cellIs" dxfId="12348" priority="18276" stopIfTrue="1" operator="between">
      <formula>0</formula>
      <formula>0.255</formula>
    </cfRule>
  </conditionalFormatting>
  <conditionalFormatting sqref="AA22:AC22">
    <cfRule type="cellIs" dxfId="12347" priority="18267" operator="between">
      <formula>0.56251</formula>
      <formula>0.7125</formula>
    </cfRule>
    <cfRule type="cellIs" dxfId="12346" priority="18268" operator="between">
      <formula>0.3751</formula>
      <formula>0.5625</formula>
    </cfRule>
    <cfRule type="cellIs" dxfId="12345" priority="18269" operator="greaterThan">
      <formula>0.751</formula>
    </cfRule>
    <cfRule type="cellIs" dxfId="12344" priority="18270" operator="between">
      <formula>0.71251</formula>
      <formula>0.75</formula>
    </cfRule>
    <cfRule type="cellIs" dxfId="12343" priority="18271" stopIfTrue="1" operator="between">
      <formula>0</formula>
      <formula>0.375</formula>
    </cfRule>
  </conditionalFormatting>
  <conditionalFormatting sqref="AH22">
    <cfRule type="cellIs" dxfId="12342" priority="18262" operator="between">
      <formula>0.76</formula>
      <formula>0.95</formula>
    </cfRule>
    <cfRule type="cellIs" dxfId="12341" priority="18263" operator="between">
      <formula>0.51</formula>
      <formula>0.75</formula>
    </cfRule>
    <cfRule type="cellIs" dxfId="12340" priority="18264" operator="greaterThan">
      <formula>1</formula>
    </cfRule>
    <cfRule type="cellIs" dxfId="12339" priority="18265" operator="between">
      <formula>0.95</formula>
      <formula>1</formula>
    </cfRule>
    <cfRule type="cellIs" dxfId="12338" priority="18266" stopIfTrue="1" operator="between">
      <formula>0</formula>
      <formula>0.5</formula>
    </cfRule>
  </conditionalFormatting>
  <conditionalFormatting sqref="U22:V22">
    <cfRule type="cellIs" dxfId="12337" priority="18252" operator="between">
      <formula>0.376</formula>
      <formula>0.475</formula>
    </cfRule>
    <cfRule type="cellIs" dxfId="12336" priority="18253" operator="between">
      <formula>0.2551</formula>
      <formula>0.3751</formula>
    </cfRule>
    <cfRule type="cellIs" dxfId="12335" priority="18254" operator="greaterThan">
      <formula>0.505</formula>
    </cfRule>
    <cfRule type="cellIs" dxfId="12334" priority="18255" operator="between">
      <formula>0.48</formula>
      <formula>0.5</formula>
    </cfRule>
    <cfRule type="cellIs" dxfId="12333" priority="18256" stopIfTrue="1" operator="between">
      <formula>0</formula>
      <formula>0.255</formula>
    </cfRule>
  </conditionalFormatting>
  <conditionalFormatting sqref="AG144:AG145 AI144:AI145 S144:S145 Z144:Z145 S147 Z147 AG147 AI147">
    <cfRule type="cellIs" dxfId="12332" priority="18220" operator="between">
      <formula>0.76</formula>
      <formula>0.95</formula>
    </cfRule>
    <cfRule type="cellIs" dxfId="12331" priority="18221" operator="between">
      <formula>0.51</formula>
      <formula>0.75</formula>
    </cfRule>
    <cfRule type="cellIs" dxfId="12330" priority="18222" operator="greaterThan">
      <formula>1</formula>
    </cfRule>
    <cfRule type="cellIs" dxfId="12329" priority="18223" operator="between">
      <formula>0.95</formula>
      <formula>1</formula>
    </cfRule>
    <cfRule type="cellIs" dxfId="12328" priority="18224" stopIfTrue="1" operator="between">
      <formula>0</formula>
      <formula>0.5</formula>
    </cfRule>
  </conditionalFormatting>
  <conditionalFormatting sqref="R144:R145 R147">
    <cfRule type="cellIs" dxfId="12327" priority="18210" operator="between">
      <formula>0.76</formula>
      <formula>0.95</formula>
    </cfRule>
    <cfRule type="cellIs" dxfId="12326" priority="18211" operator="between">
      <formula>0.51</formula>
      <formula>0.75</formula>
    </cfRule>
    <cfRule type="cellIs" dxfId="12325" priority="18212" operator="greaterThan">
      <formula>1</formula>
    </cfRule>
    <cfRule type="cellIs" dxfId="12324" priority="18213" operator="between">
      <formula>0.95</formula>
      <formula>1</formula>
    </cfRule>
    <cfRule type="cellIs" dxfId="12323" priority="18214" stopIfTrue="1" operator="between">
      <formula>0</formula>
      <formula>0.5</formula>
    </cfRule>
  </conditionalFormatting>
  <conditionalFormatting sqref="Y144:Y145 Y147">
    <cfRule type="cellIs" dxfId="12322" priority="18205" operator="between">
      <formula>0.76</formula>
      <formula>0.95</formula>
    </cfRule>
    <cfRule type="cellIs" dxfId="12321" priority="18206" operator="between">
      <formula>0.51</formula>
      <formula>0.75</formula>
    </cfRule>
    <cfRule type="cellIs" dxfId="12320" priority="18207" operator="greaterThan">
      <formula>1</formula>
    </cfRule>
    <cfRule type="cellIs" dxfId="12319" priority="18208" operator="between">
      <formula>0.95</formula>
      <formula>1</formula>
    </cfRule>
    <cfRule type="cellIs" dxfId="12318" priority="18209" stopIfTrue="1" operator="between">
      <formula>0</formula>
      <formula>0.5</formula>
    </cfRule>
  </conditionalFormatting>
  <conditionalFormatting sqref="AF144:AF145 AF147">
    <cfRule type="cellIs" dxfId="12317" priority="18200" operator="between">
      <formula>0.76</formula>
      <formula>0.95</formula>
    </cfRule>
    <cfRule type="cellIs" dxfId="12316" priority="18201" operator="between">
      <formula>0.51</formula>
      <formula>0.75</formula>
    </cfRule>
    <cfRule type="cellIs" dxfId="12315" priority="18202" operator="greaterThan">
      <formula>1</formula>
    </cfRule>
    <cfRule type="cellIs" dxfId="12314" priority="18203" operator="between">
      <formula>0.95</formula>
      <formula>1</formula>
    </cfRule>
    <cfRule type="cellIs" dxfId="12313" priority="18204" stopIfTrue="1" operator="between">
      <formula>0</formula>
      <formula>0.5</formula>
    </cfRule>
  </conditionalFormatting>
  <conditionalFormatting sqref="AH145 AH147">
    <cfRule type="cellIs" dxfId="12312" priority="18195" operator="between">
      <formula>0.76</formula>
      <formula>0.95</formula>
    </cfRule>
    <cfRule type="cellIs" dxfId="12311" priority="18196" operator="between">
      <formula>0.51</formula>
      <formula>0.75</formula>
    </cfRule>
    <cfRule type="cellIs" dxfId="12310" priority="18197" operator="greaterThan">
      <formula>1</formula>
    </cfRule>
    <cfRule type="cellIs" dxfId="12309" priority="18198" operator="between">
      <formula>0.95</formula>
      <formula>1</formula>
    </cfRule>
    <cfRule type="cellIs" dxfId="12308" priority="18199" stopIfTrue="1" operator="between">
      <formula>0</formula>
      <formula>0.5</formula>
    </cfRule>
  </conditionalFormatting>
  <conditionalFormatting sqref="T144:T145 T147">
    <cfRule type="cellIs" dxfId="12307" priority="18180" operator="between">
      <formula>0.3751</formula>
      <formula>0.475</formula>
    </cfRule>
    <cfRule type="cellIs" dxfId="12306" priority="18181" operator="between">
      <formula>0.2551</formula>
      <formula>0.375</formula>
    </cfRule>
    <cfRule type="cellIs" dxfId="12305" priority="18182" operator="greaterThan">
      <formula>0.505</formula>
    </cfRule>
    <cfRule type="cellIs" dxfId="12304" priority="18183" operator="between">
      <formula>0.48</formula>
      <formula>0.5</formula>
    </cfRule>
    <cfRule type="cellIs" dxfId="12303" priority="18184" stopIfTrue="1" operator="between">
      <formula>0</formula>
      <formula>0.255</formula>
    </cfRule>
  </conditionalFormatting>
  <conditionalFormatting sqref="U144:V145 U147:V147">
    <cfRule type="cellIs" dxfId="12302" priority="18175" operator="between">
      <formula>0.376</formula>
      <formula>0.475</formula>
    </cfRule>
    <cfRule type="cellIs" dxfId="12301" priority="18176" operator="between">
      <formula>0.2551</formula>
      <formula>0.3751</formula>
    </cfRule>
    <cfRule type="cellIs" dxfId="12300" priority="18177" operator="greaterThan">
      <formula>0.505</formula>
    </cfRule>
    <cfRule type="cellIs" dxfId="12299" priority="18178" operator="between">
      <formula>0.48</formula>
      <formula>0.5</formula>
    </cfRule>
    <cfRule type="cellIs" dxfId="12298" priority="18179" stopIfTrue="1" operator="between">
      <formula>0</formula>
      <formula>0.255</formula>
    </cfRule>
  </conditionalFormatting>
  <conditionalFormatting sqref="AA145 AA147">
    <cfRule type="cellIs" dxfId="12297" priority="18170" operator="between">
      <formula>0.56251</formula>
      <formula>0.7125</formula>
    </cfRule>
    <cfRule type="cellIs" dxfId="12296" priority="18171" operator="between">
      <formula>0.3751</formula>
      <formula>0.5625</formula>
    </cfRule>
    <cfRule type="cellIs" dxfId="12295" priority="18172" operator="greaterThan">
      <formula>0.751</formula>
    </cfRule>
    <cfRule type="cellIs" dxfId="12294" priority="18173" operator="between">
      <formula>0.71251</formula>
      <formula>0.75</formula>
    </cfRule>
    <cfRule type="cellIs" dxfId="12293" priority="18174" stopIfTrue="1" operator="between">
      <formula>0</formula>
      <formula>0.375</formula>
    </cfRule>
  </conditionalFormatting>
  <conditionalFormatting sqref="AC145 AC147">
    <cfRule type="cellIs" dxfId="12292" priority="18165" operator="between">
      <formula>0.56251</formula>
      <formula>0.7125</formula>
    </cfRule>
    <cfRule type="cellIs" dxfId="12291" priority="18166" operator="between">
      <formula>0.3751</formula>
      <formula>0.5625</formula>
    </cfRule>
    <cfRule type="cellIs" dxfId="12290" priority="18167" operator="greaterThan">
      <formula>0.751</formula>
    </cfRule>
    <cfRule type="cellIs" dxfId="12289" priority="18168" operator="between">
      <formula>0.71251</formula>
      <formula>0.75</formula>
    </cfRule>
    <cfRule type="cellIs" dxfId="12288" priority="18169" stopIfTrue="1" operator="between">
      <formula>0</formula>
      <formula>0.375</formula>
    </cfRule>
  </conditionalFormatting>
  <conditionalFormatting sqref="AB145 AB147">
    <cfRule type="cellIs" dxfId="12287" priority="18160" operator="between">
      <formula>0.56251</formula>
      <formula>0.7125</formula>
    </cfRule>
    <cfRule type="cellIs" dxfId="12286" priority="18161" operator="between">
      <formula>0.3751</formula>
      <formula>0.5625</formula>
    </cfRule>
    <cfRule type="cellIs" dxfId="12285" priority="18162" operator="greaterThan">
      <formula>0.751</formula>
    </cfRule>
    <cfRule type="cellIs" dxfId="12284" priority="18163" operator="between">
      <formula>0.71251</formula>
      <formula>0.75</formula>
    </cfRule>
    <cfRule type="cellIs" dxfId="12283" priority="18164" stopIfTrue="1" operator="between">
      <formula>0</formula>
      <formula>0.375</formula>
    </cfRule>
  </conditionalFormatting>
  <conditionalFormatting sqref="S211">
    <cfRule type="cellIs" dxfId="12282" priority="18133" operator="between">
      <formula>0.76</formula>
      <formula>0.95</formula>
    </cfRule>
    <cfRule type="cellIs" dxfId="12281" priority="18134" operator="between">
      <formula>0.51</formula>
      <formula>0.75</formula>
    </cfRule>
    <cfRule type="cellIs" dxfId="12280" priority="18135" operator="greaterThan">
      <formula>1</formula>
    </cfRule>
    <cfRule type="cellIs" dxfId="12279" priority="18136" operator="between">
      <formula>0.95</formula>
      <formula>1</formula>
    </cfRule>
    <cfRule type="cellIs" dxfId="12278" priority="18137" stopIfTrue="1" operator="between">
      <formula>0</formula>
      <formula>0.5</formula>
    </cfRule>
  </conditionalFormatting>
  <conditionalFormatting sqref="R211">
    <cfRule type="cellIs" dxfId="12277" priority="18128" operator="between">
      <formula>0.76</formula>
      <formula>0.95</formula>
    </cfRule>
    <cfRule type="cellIs" dxfId="12276" priority="18129" operator="between">
      <formula>0.51</formula>
      <formula>0.75</formula>
    </cfRule>
    <cfRule type="cellIs" dxfId="12275" priority="18130" operator="greaterThan">
      <formula>1</formula>
    </cfRule>
    <cfRule type="cellIs" dxfId="12274" priority="18131" operator="between">
      <formula>0.95</formula>
      <formula>1</formula>
    </cfRule>
    <cfRule type="cellIs" dxfId="12273" priority="18132" stopIfTrue="1" operator="between">
      <formula>0</formula>
      <formula>0.5</formula>
    </cfRule>
  </conditionalFormatting>
  <conditionalFormatting sqref="Y211">
    <cfRule type="cellIs" dxfId="12272" priority="18123" operator="between">
      <formula>0.76</formula>
      <formula>0.95</formula>
    </cfRule>
    <cfRule type="cellIs" dxfId="12271" priority="18124" operator="between">
      <formula>0.51</formula>
      <formula>0.75</formula>
    </cfRule>
    <cfRule type="cellIs" dxfId="12270" priority="18125" operator="greaterThan">
      <formula>1</formula>
    </cfRule>
    <cfRule type="cellIs" dxfId="12269" priority="18126" operator="between">
      <formula>0.95</formula>
      <formula>1</formula>
    </cfRule>
    <cfRule type="cellIs" dxfId="12268" priority="18127" stopIfTrue="1" operator="between">
      <formula>0</formula>
      <formula>0.5</formula>
    </cfRule>
  </conditionalFormatting>
  <conditionalFormatting sqref="AF211">
    <cfRule type="cellIs" dxfId="12267" priority="18118" operator="between">
      <formula>0.76</formula>
      <formula>0.95</formula>
    </cfRule>
    <cfRule type="cellIs" dxfId="12266" priority="18119" operator="between">
      <formula>0.51</formula>
      <formula>0.75</formula>
    </cfRule>
    <cfRule type="cellIs" dxfId="12265" priority="18120" operator="greaterThan">
      <formula>1</formula>
    </cfRule>
    <cfRule type="cellIs" dxfId="12264" priority="18121" operator="between">
      <formula>0.95</formula>
      <formula>1</formula>
    </cfRule>
    <cfRule type="cellIs" dxfId="12263" priority="18122" stopIfTrue="1" operator="between">
      <formula>0</formula>
      <formula>0.5</formula>
    </cfRule>
  </conditionalFormatting>
  <conditionalFormatting sqref="AH211">
    <cfRule type="cellIs" dxfId="12262" priority="18113" operator="between">
      <formula>0.76</formula>
      <formula>0.95</formula>
    </cfRule>
    <cfRule type="cellIs" dxfId="12261" priority="18114" operator="between">
      <formula>0.51</formula>
      <formula>0.75</formula>
    </cfRule>
    <cfRule type="cellIs" dxfId="12260" priority="18115" operator="greaterThan">
      <formula>1</formula>
    </cfRule>
    <cfRule type="cellIs" dxfId="12259" priority="18116" operator="between">
      <formula>0.95</formula>
      <formula>1</formula>
    </cfRule>
    <cfRule type="cellIs" dxfId="12258" priority="18117" stopIfTrue="1" operator="between">
      <formula>0</formula>
      <formula>0.5</formula>
    </cfRule>
  </conditionalFormatting>
  <conditionalFormatting sqref="T211">
    <cfRule type="cellIs" dxfId="12257" priority="18098" operator="between">
      <formula>0.3751</formula>
      <formula>0.475</formula>
    </cfRule>
    <cfRule type="cellIs" dxfId="12256" priority="18099" operator="between">
      <formula>0.2551</formula>
      <formula>0.375</formula>
    </cfRule>
    <cfRule type="cellIs" dxfId="12255" priority="18100" operator="greaterThan">
      <formula>0.505</formula>
    </cfRule>
    <cfRule type="cellIs" dxfId="12254" priority="18101" operator="between">
      <formula>0.48</formula>
      <formula>0.5</formula>
    </cfRule>
    <cfRule type="cellIs" dxfId="12253" priority="18102" stopIfTrue="1" operator="between">
      <formula>0</formula>
      <formula>0.255</formula>
    </cfRule>
  </conditionalFormatting>
  <conditionalFormatting sqref="U211:V211">
    <cfRule type="cellIs" dxfId="12252" priority="18093" operator="between">
      <formula>0.376</formula>
      <formula>0.475</formula>
    </cfRule>
    <cfRule type="cellIs" dxfId="12251" priority="18094" operator="between">
      <formula>0.2551</formula>
      <formula>0.3751</formula>
    </cfRule>
    <cfRule type="cellIs" dxfId="12250" priority="18095" operator="greaterThan">
      <formula>0.505</formula>
    </cfRule>
    <cfRule type="cellIs" dxfId="12249" priority="18096" operator="between">
      <formula>0.48</formula>
      <formula>0.5</formula>
    </cfRule>
    <cfRule type="cellIs" dxfId="12248" priority="18097" stopIfTrue="1" operator="between">
      <formula>0</formula>
      <formula>0.255</formula>
    </cfRule>
  </conditionalFormatting>
  <conditionalFormatting sqref="Z211">
    <cfRule type="cellIs" dxfId="12247" priority="18088" operator="between">
      <formula>0.76</formula>
      <formula>0.95</formula>
    </cfRule>
    <cfRule type="cellIs" dxfId="12246" priority="18089" operator="between">
      <formula>0.51</formula>
      <formula>0.75</formula>
    </cfRule>
    <cfRule type="cellIs" dxfId="12245" priority="18090" operator="greaterThan">
      <formula>1</formula>
    </cfRule>
    <cfRule type="cellIs" dxfId="12244" priority="18091" operator="between">
      <formula>0.95</formula>
      <formula>1</formula>
    </cfRule>
    <cfRule type="cellIs" dxfId="12243" priority="18092" stopIfTrue="1" operator="between">
      <formula>0</formula>
      <formula>0.5</formula>
    </cfRule>
  </conditionalFormatting>
  <conditionalFormatting sqref="AG211">
    <cfRule type="cellIs" dxfId="12242" priority="18083" operator="between">
      <formula>0.76</formula>
      <formula>0.95</formula>
    </cfRule>
    <cfRule type="cellIs" dxfId="12241" priority="18084" operator="between">
      <formula>0.51</formula>
      <formula>0.75</formula>
    </cfRule>
    <cfRule type="cellIs" dxfId="12240" priority="18085" operator="greaterThan">
      <formula>1</formula>
    </cfRule>
    <cfRule type="cellIs" dxfId="12239" priority="18086" operator="between">
      <formula>0.95</formula>
      <formula>1</formula>
    </cfRule>
    <cfRule type="cellIs" dxfId="12238" priority="18087" stopIfTrue="1" operator="between">
      <formula>0</formula>
      <formula>0.5</formula>
    </cfRule>
  </conditionalFormatting>
  <conditionalFormatting sqref="AI211">
    <cfRule type="cellIs" dxfId="12237" priority="18078" operator="between">
      <formula>0.76</formula>
      <formula>0.95</formula>
    </cfRule>
    <cfRule type="cellIs" dxfId="12236" priority="18079" operator="between">
      <formula>0.51</formula>
      <formula>0.75</formula>
    </cfRule>
    <cfRule type="cellIs" dxfId="12235" priority="18080" operator="greaterThan">
      <formula>1</formula>
    </cfRule>
    <cfRule type="cellIs" dxfId="12234" priority="18081" operator="between">
      <formula>0.95</formula>
      <formula>1</formula>
    </cfRule>
    <cfRule type="cellIs" dxfId="12233" priority="18082" stopIfTrue="1" operator="between">
      <formula>0</formula>
      <formula>0.5</formula>
    </cfRule>
  </conditionalFormatting>
  <conditionalFormatting sqref="AA211">
    <cfRule type="cellIs" dxfId="12232" priority="18073" operator="between">
      <formula>0.56251</formula>
      <formula>0.7125</formula>
    </cfRule>
    <cfRule type="cellIs" dxfId="12231" priority="18074" operator="between">
      <formula>0.3751</formula>
      <formula>0.5625</formula>
    </cfRule>
    <cfRule type="cellIs" dxfId="12230" priority="18075" operator="greaterThan">
      <formula>0.751</formula>
    </cfRule>
    <cfRule type="cellIs" dxfId="12229" priority="18076" operator="between">
      <formula>0.71251</formula>
      <formula>0.75</formula>
    </cfRule>
    <cfRule type="cellIs" dxfId="12228" priority="18077" stopIfTrue="1" operator="between">
      <formula>0</formula>
      <formula>0.375</formula>
    </cfRule>
  </conditionalFormatting>
  <conditionalFormatting sqref="AC211">
    <cfRule type="cellIs" dxfId="12227" priority="18068" operator="between">
      <formula>0.56251</formula>
      <formula>0.7125</formula>
    </cfRule>
    <cfRule type="cellIs" dxfId="12226" priority="18069" operator="between">
      <formula>0.3751</formula>
      <formula>0.5625</formula>
    </cfRule>
    <cfRule type="cellIs" dxfId="12225" priority="18070" operator="greaterThan">
      <formula>0.751</formula>
    </cfRule>
    <cfRule type="cellIs" dxfId="12224" priority="18071" operator="between">
      <formula>0.71251</formula>
      <formula>0.75</formula>
    </cfRule>
    <cfRule type="cellIs" dxfId="12223" priority="18072" stopIfTrue="1" operator="between">
      <formula>0</formula>
      <formula>0.375</formula>
    </cfRule>
  </conditionalFormatting>
  <conditionalFormatting sqref="AB211">
    <cfRule type="cellIs" dxfId="12222" priority="18063" operator="between">
      <formula>0.56251</formula>
      <formula>0.7125</formula>
    </cfRule>
    <cfRule type="cellIs" dxfId="12221" priority="18064" operator="between">
      <formula>0.3751</formula>
      <formula>0.5625</formula>
    </cfRule>
    <cfRule type="cellIs" dxfId="12220" priority="18065" operator="greaterThan">
      <formula>0.751</formula>
    </cfRule>
    <cfRule type="cellIs" dxfId="12219" priority="18066" operator="between">
      <formula>0.71251</formula>
      <formula>0.75</formula>
    </cfRule>
    <cfRule type="cellIs" dxfId="12218" priority="18067" stopIfTrue="1" operator="between">
      <formula>0</formula>
      <formula>0.375</formula>
    </cfRule>
  </conditionalFormatting>
  <conditionalFormatting sqref="AG23 AI23 Z23">
    <cfRule type="cellIs" dxfId="12217" priority="18046" operator="between">
      <formula>0.76</formula>
      <formula>0.95</formula>
    </cfRule>
    <cfRule type="cellIs" dxfId="12216" priority="18047" operator="between">
      <formula>0.51</formula>
      <formula>0.75</formula>
    </cfRule>
    <cfRule type="cellIs" dxfId="12215" priority="18048" operator="greaterThan">
      <formula>1</formula>
    </cfRule>
    <cfRule type="cellIs" dxfId="12214" priority="18049" operator="between">
      <formula>0.95</formula>
      <formula>1</formula>
    </cfRule>
    <cfRule type="cellIs" dxfId="12213" priority="18050" stopIfTrue="1" operator="between">
      <formula>0</formula>
      <formula>0.5</formula>
    </cfRule>
  </conditionalFormatting>
  <conditionalFormatting sqref="R23:S23">
    <cfRule type="cellIs" dxfId="12212" priority="18041" operator="between">
      <formula>0.76</formula>
      <formula>0.95</formula>
    </cfRule>
    <cfRule type="cellIs" dxfId="12211" priority="18042" operator="between">
      <formula>0.51</formula>
      <formula>0.75</formula>
    </cfRule>
    <cfRule type="cellIs" dxfId="12210" priority="18043" operator="greaterThan">
      <formula>1</formula>
    </cfRule>
    <cfRule type="cellIs" dxfId="12209" priority="18044" operator="between">
      <formula>0.95</formula>
      <formula>1</formula>
    </cfRule>
    <cfRule type="cellIs" dxfId="12208" priority="18045" stopIfTrue="1" operator="between">
      <formula>0</formula>
      <formula>0.5</formula>
    </cfRule>
  </conditionalFormatting>
  <conditionalFormatting sqref="Y23">
    <cfRule type="cellIs" dxfId="12207" priority="18036" operator="between">
      <formula>0.76</formula>
      <formula>0.95</formula>
    </cfRule>
    <cfRule type="cellIs" dxfId="12206" priority="18037" operator="between">
      <formula>0.51</formula>
      <formula>0.75</formula>
    </cfRule>
    <cfRule type="cellIs" dxfId="12205" priority="18038" operator="greaterThan">
      <formula>1</formula>
    </cfRule>
    <cfRule type="cellIs" dxfId="12204" priority="18039" operator="between">
      <formula>0.95</formula>
      <formula>1</formula>
    </cfRule>
    <cfRule type="cellIs" dxfId="12203" priority="18040" stopIfTrue="1" operator="between">
      <formula>0</formula>
      <formula>0.5</formula>
    </cfRule>
  </conditionalFormatting>
  <conditionalFormatting sqref="AF23">
    <cfRule type="cellIs" dxfId="12202" priority="18031" operator="between">
      <formula>0.76</formula>
      <formula>0.95</formula>
    </cfRule>
    <cfRule type="cellIs" dxfId="12201" priority="18032" operator="between">
      <formula>0.51</formula>
      <formula>0.75</formula>
    </cfRule>
    <cfRule type="cellIs" dxfId="12200" priority="18033" operator="greaterThan">
      <formula>1</formula>
    </cfRule>
    <cfRule type="cellIs" dxfId="12199" priority="18034" operator="between">
      <formula>0.95</formula>
      <formula>1</formula>
    </cfRule>
    <cfRule type="cellIs" dxfId="12198" priority="18035" stopIfTrue="1" operator="between">
      <formula>0</formula>
      <formula>0.5</formula>
    </cfRule>
  </conditionalFormatting>
  <conditionalFormatting sqref="T23">
    <cfRule type="cellIs" dxfId="12197" priority="18026" operator="between">
      <formula>0.3751</formula>
      <formula>0.475</formula>
    </cfRule>
    <cfRule type="cellIs" dxfId="12196" priority="18027" operator="between">
      <formula>0.2551</formula>
      <formula>0.375</formula>
    </cfRule>
    <cfRule type="cellIs" dxfId="12195" priority="18028" operator="greaterThan">
      <formula>0.505</formula>
    </cfRule>
    <cfRule type="cellIs" dxfId="12194" priority="18029" operator="between">
      <formula>0.48</formula>
      <formula>0.5</formula>
    </cfRule>
    <cfRule type="cellIs" dxfId="12193" priority="18030" stopIfTrue="1" operator="between">
      <formula>0</formula>
      <formula>0.255</formula>
    </cfRule>
  </conditionalFormatting>
  <conditionalFormatting sqref="AA23:AC23">
    <cfRule type="cellIs" dxfId="12192" priority="18021" operator="between">
      <formula>0.56251</formula>
      <formula>0.7125</formula>
    </cfRule>
    <cfRule type="cellIs" dxfId="12191" priority="18022" operator="between">
      <formula>0.3751</formula>
      <formula>0.5625</formula>
    </cfRule>
    <cfRule type="cellIs" dxfId="12190" priority="18023" operator="greaterThan">
      <formula>0.751</formula>
    </cfRule>
    <cfRule type="cellIs" dxfId="12189" priority="18024" operator="between">
      <formula>0.71251</formula>
      <formula>0.75</formula>
    </cfRule>
    <cfRule type="cellIs" dxfId="12188" priority="18025" stopIfTrue="1" operator="between">
      <formula>0</formula>
      <formula>0.375</formula>
    </cfRule>
  </conditionalFormatting>
  <conditionalFormatting sqref="AH23">
    <cfRule type="cellIs" dxfId="12187" priority="18016" operator="between">
      <formula>0.76</formula>
      <formula>0.95</formula>
    </cfRule>
    <cfRule type="cellIs" dxfId="12186" priority="18017" operator="between">
      <formula>0.51</formula>
      <formula>0.75</formula>
    </cfRule>
    <cfRule type="cellIs" dxfId="12185" priority="18018" operator="greaterThan">
      <formula>1</formula>
    </cfRule>
    <cfRule type="cellIs" dxfId="12184" priority="18019" operator="between">
      <formula>0.95</formula>
      <formula>1</formula>
    </cfRule>
    <cfRule type="cellIs" dxfId="12183" priority="18020" stopIfTrue="1" operator="between">
      <formula>0</formula>
      <formula>0.5</formula>
    </cfRule>
  </conditionalFormatting>
  <conditionalFormatting sqref="U23:V23">
    <cfRule type="cellIs" dxfId="12182" priority="18006" operator="between">
      <formula>0.376</formula>
      <formula>0.475</formula>
    </cfRule>
    <cfRule type="cellIs" dxfId="12181" priority="18007" operator="between">
      <formula>0.2551</formula>
      <formula>0.3751</formula>
    </cfRule>
    <cfRule type="cellIs" dxfId="12180" priority="18008" operator="greaterThan">
      <formula>0.505</formula>
    </cfRule>
    <cfRule type="cellIs" dxfId="12179" priority="18009" operator="between">
      <formula>0.48</formula>
      <formula>0.5</formula>
    </cfRule>
    <cfRule type="cellIs" dxfId="12178" priority="18010" stopIfTrue="1" operator="between">
      <formula>0</formula>
      <formula>0.255</formula>
    </cfRule>
  </conditionalFormatting>
  <conditionalFormatting sqref="AG24:AG27 AI24:AI27 Z24:Z27">
    <cfRule type="cellIs" dxfId="12177" priority="17902" operator="between">
      <formula>0.76</formula>
      <formula>0.95</formula>
    </cfRule>
    <cfRule type="cellIs" dxfId="12176" priority="17903" operator="between">
      <formula>0.51</formula>
      <formula>0.75</formula>
    </cfRule>
    <cfRule type="cellIs" dxfId="12175" priority="17904" operator="greaterThan">
      <formula>1</formula>
    </cfRule>
    <cfRule type="cellIs" dxfId="12174" priority="17905" operator="between">
      <formula>0.95</formula>
      <formula>1</formula>
    </cfRule>
    <cfRule type="cellIs" dxfId="12173" priority="17906" stopIfTrue="1" operator="between">
      <formula>0</formula>
      <formula>0.5</formula>
    </cfRule>
  </conditionalFormatting>
  <conditionalFormatting sqref="R24:S27">
    <cfRule type="cellIs" dxfId="12172" priority="17897" operator="between">
      <formula>0.76</formula>
      <formula>0.95</formula>
    </cfRule>
    <cfRule type="cellIs" dxfId="12171" priority="17898" operator="between">
      <formula>0.51</formula>
      <formula>0.75</formula>
    </cfRule>
    <cfRule type="cellIs" dxfId="12170" priority="17899" operator="greaterThan">
      <formula>1</formula>
    </cfRule>
    <cfRule type="cellIs" dxfId="12169" priority="17900" operator="between">
      <formula>0.95</formula>
      <formula>1</formula>
    </cfRule>
    <cfRule type="cellIs" dxfId="12168" priority="17901" stopIfTrue="1" operator="between">
      <formula>0</formula>
      <formula>0.5</formula>
    </cfRule>
  </conditionalFormatting>
  <conditionalFormatting sqref="Y24:Y27">
    <cfRule type="cellIs" dxfId="12167" priority="17892" operator="between">
      <formula>0.76</formula>
      <formula>0.95</formula>
    </cfRule>
    <cfRule type="cellIs" dxfId="12166" priority="17893" operator="between">
      <formula>0.51</formula>
      <formula>0.75</formula>
    </cfRule>
    <cfRule type="cellIs" dxfId="12165" priority="17894" operator="greaterThan">
      <formula>1</formula>
    </cfRule>
    <cfRule type="cellIs" dxfId="12164" priority="17895" operator="between">
      <formula>0.95</formula>
      <formula>1</formula>
    </cfRule>
    <cfRule type="cellIs" dxfId="12163" priority="17896" stopIfTrue="1" operator="between">
      <formula>0</formula>
      <formula>0.5</formula>
    </cfRule>
  </conditionalFormatting>
  <conditionalFormatting sqref="AF24:AF27">
    <cfRule type="cellIs" dxfId="12162" priority="17887" operator="between">
      <formula>0.76</formula>
      <formula>0.95</formula>
    </cfRule>
    <cfRule type="cellIs" dxfId="12161" priority="17888" operator="between">
      <formula>0.51</formula>
      <formula>0.75</formula>
    </cfRule>
    <cfRule type="cellIs" dxfId="12160" priority="17889" operator="greaterThan">
      <formula>1</formula>
    </cfRule>
    <cfRule type="cellIs" dxfId="12159" priority="17890" operator="between">
      <formula>0.95</formula>
      <formula>1</formula>
    </cfRule>
    <cfRule type="cellIs" dxfId="12158" priority="17891" stopIfTrue="1" operator="between">
      <formula>0</formula>
      <formula>0.5</formula>
    </cfRule>
  </conditionalFormatting>
  <conditionalFormatting sqref="T24:T27">
    <cfRule type="cellIs" dxfId="12157" priority="17882" operator="between">
      <formula>0.3751</formula>
      <formula>0.475</formula>
    </cfRule>
    <cfRule type="cellIs" dxfId="12156" priority="17883" operator="between">
      <formula>0.2551</formula>
      <formula>0.375</formula>
    </cfRule>
    <cfRule type="cellIs" dxfId="12155" priority="17884" operator="greaterThan">
      <formula>0.505</formula>
    </cfRule>
    <cfRule type="cellIs" dxfId="12154" priority="17885" operator="between">
      <formula>0.48</formula>
      <formula>0.5</formula>
    </cfRule>
    <cfRule type="cellIs" dxfId="12153" priority="17886" stopIfTrue="1" operator="between">
      <formula>0</formula>
      <formula>0.255</formula>
    </cfRule>
  </conditionalFormatting>
  <conditionalFormatting sqref="AA24:AC27">
    <cfRule type="cellIs" dxfId="12152" priority="17877" operator="between">
      <formula>0.56251</formula>
      <formula>0.7125</formula>
    </cfRule>
    <cfRule type="cellIs" dxfId="12151" priority="17878" operator="between">
      <formula>0.3751</formula>
      <formula>0.5625</formula>
    </cfRule>
    <cfRule type="cellIs" dxfId="12150" priority="17879" operator="greaterThan">
      <formula>0.751</formula>
    </cfRule>
    <cfRule type="cellIs" dxfId="12149" priority="17880" operator="between">
      <formula>0.71251</formula>
      <formula>0.75</formula>
    </cfRule>
    <cfRule type="cellIs" dxfId="12148" priority="17881" stopIfTrue="1" operator="between">
      <formula>0</formula>
      <formula>0.375</formula>
    </cfRule>
  </conditionalFormatting>
  <conditionalFormatting sqref="AH24:AH27">
    <cfRule type="cellIs" dxfId="12147" priority="17872" operator="between">
      <formula>0.76</formula>
      <formula>0.95</formula>
    </cfRule>
    <cfRule type="cellIs" dxfId="12146" priority="17873" operator="between">
      <formula>0.51</formula>
      <formula>0.75</formula>
    </cfRule>
    <cfRule type="cellIs" dxfId="12145" priority="17874" operator="greaterThan">
      <formula>1</formula>
    </cfRule>
    <cfRule type="cellIs" dxfId="12144" priority="17875" operator="between">
      <formula>0.95</formula>
      <formula>1</formula>
    </cfRule>
    <cfRule type="cellIs" dxfId="12143" priority="17876" stopIfTrue="1" operator="between">
      <formula>0</formula>
      <formula>0.5</formula>
    </cfRule>
  </conditionalFormatting>
  <conditionalFormatting sqref="U24:V27">
    <cfRule type="cellIs" dxfId="12142" priority="17862" operator="between">
      <formula>0.376</formula>
      <formula>0.475</formula>
    </cfRule>
    <cfRule type="cellIs" dxfId="12141" priority="17863" operator="between">
      <formula>0.2551</formula>
      <formula>0.3751</formula>
    </cfRule>
    <cfRule type="cellIs" dxfId="12140" priority="17864" operator="greaterThan">
      <formula>0.505</formula>
    </cfRule>
    <cfRule type="cellIs" dxfId="12139" priority="17865" operator="between">
      <formula>0.48</formula>
      <formula>0.5</formula>
    </cfRule>
    <cfRule type="cellIs" dxfId="12138" priority="17866" stopIfTrue="1" operator="between">
      <formula>0</formula>
      <formula>0.255</formula>
    </cfRule>
  </conditionalFormatting>
  <conditionalFormatting sqref="AG148 AI148 S148 Z148">
    <cfRule type="cellIs" dxfId="12137" priority="17830" operator="between">
      <formula>0.76</formula>
      <formula>0.95</formula>
    </cfRule>
    <cfRule type="cellIs" dxfId="12136" priority="17831" operator="between">
      <formula>0.51</formula>
      <formula>0.75</formula>
    </cfRule>
    <cfRule type="cellIs" dxfId="12135" priority="17832" operator="greaterThan">
      <formula>1</formula>
    </cfRule>
    <cfRule type="cellIs" dxfId="12134" priority="17833" operator="between">
      <formula>0.95</formula>
      <formula>1</formula>
    </cfRule>
    <cfRule type="cellIs" dxfId="12133" priority="17834" stopIfTrue="1" operator="between">
      <formula>0</formula>
      <formula>0.5</formula>
    </cfRule>
  </conditionalFormatting>
  <conditionalFormatting sqref="R148">
    <cfRule type="cellIs" dxfId="12132" priority="17820" operator="between">
      <formula>0.76</formula>
      <formula>0.95</formula>
    </cfRule>
    <cfRule type="cellIs" dxfId="12131" priority="17821" operator="between">
      <formula>0.51</formula>
      <formula>0.75</formula>
    </cfRule>
    <cfRule type="cellIs" dxfId="12130" priority="17822" operator="greaterThan">
      <formula>1</formula>
    </cfRule>
    <cfRule type="cellIs" dxfId="12129" priority="17823" operator="between">
      <formula>0.95</formula>
      <formula>1</formula>
    </cfRule>
    <cfRule type="cellIs" dxfId="12128" priority="17824" stopIfTrue="1" operator="between">
      <formula>0</formula>
      <formula>0.5</formula>
    </cfRule>
  </conditionalFormatting>
  <conditionalFormatting sqref="Y148">
    <cfRule type="cellIs" dxfId="12127" priority="17815" operator="between">
      <formula>0.76</formula>
      <formula>0.95</formula>
    </cfRule>
    <cfRule type="cellIs" dxfId="12126" priority="17816" operator="between">
      <formula>0.51</formula>
      <formula>0.75</formula>
    </cfRule>
    <cfRule type="cellIs" dxfId="12125" priority="17817" operator="greaterThan">
      <formula>1</formula>
    </cfRule>
    <cfRule type="cellIs" dxfId="12124" priority="17818" operator="between">
      <formula>0.95</formula>
      <formula>1</formula>
    </cfRule>
    <cfRule type="cellIs" dxfId="12123" priority="17819" stopIfTrue="1" operator="between">
      <formula>0</formula>
      <formula>0.5</formula>
    </cfRule>
  </conditionalFormatting>
  <conditionalFormatting sqref="AF148">
    <cfRule type="cellIs" dxfId="12122" priority="17810" operator="between">
      <formula>0.76</formula>
      <formula>0.95</formula>
    </cfRule>
    <cfRule type="cellIs" dxfId="12121" priority="17811" operator="between">
      <formula>0.51</formula>
      <formula>0.75</formula>
    </cfRule>
    <cfRule type="cellIs" dxfId="12120" priority="17812" operator="greaterThan">
      <formula>1</formula>
    </cfRule>
    <cfRule type="cellIs" dxfId="12119" priority="17813" operator="between">
      <formula>0.95</formula>
      <formula>1</formula>
    </cfRule>
    <cfRule type="cellIs" dxfId="12118" priority="17814" stopIfTrue="1" operator="between">
      <formula>0</formula>
      <formula>0.5</formula>
    </cfRule>
  </conditionalFormatting>
  <conditionalFormatting sqref="AH148">
    <cfRule type="cellIs" dxfId="12117" priority="17805" operator="between">
      <formula>0.76</formula>
      <formula>0.95</formula>
    </cfRule>
    <cfRule type="cellIs" dxfId="12116" priority="17806" operator="between">
      <formula>0.51</formula>
      <formula>0.75</formula>
    </cfRule>
    <cfRule type="cellIs" dxfId="12115" priority="17807" operator="greaterThan">
      <formula>1</formula>
    </cfRule>
    <cfRule type="cellIs" dxfId="12114" priority="17808" operator="between">
      <formula>0.95</formula>
      <formula>1</formula>
    </cfRule>
    <cfRule type="cellIs" dxfId="12113" priority="17809" stopIfTrue="1" operator="between">
      <formula>0</formula>
      <formula>0.5</formula>
    </cfRule>
  </conditionalFormatting>
  <conditionalFormatting sqref="T148">
    <cfRule type="cellIs" dxfId="12112" priority="17790" operator="between">
      <formula>0.3751</formula>
      <formula>0.475</formula>
    </cfRule>
    <cfRule type="cellIs" dxfId="12111" priority="17791" operator="between">
      <formula>0.2551</formula>
      <formula>0.375</formula>
    </cfRule>
    <cfRule type="cellIs" dxfId="12110" priority="17792" operator="greaterThan">
      <formula>0.505</formula>
    </cfRule>
    <cfRule type="cellIs" dxfId="12109" priority="17793" operator="between">
      <formula>0.48</formula>
      <formula>0.5</formula>
    </cfRule>
    <cfRule type="cellIs" dxfId="12108" priority="17794" stopIfTrue="1" operator="between">
      <formula>0</formula>
      <formula>0.255</formula>
    </cfRule>
  </conditionalFormatting>
  <conditionalFormatting sqref="U148:V148">
    <cfRule type="cellIs" dxfId="12107" priority="17785" operator="between">
      <formula>0.376</formula>
      <formula>0.475</formula>
    </cfRule>
    <cfRule type="cellIs" dxfId="12106" priority="17786" operator="between">
      <formula>0.2551</formula>
      <formula>0.3751</formula>
    </cfRule>
    <cfRule type="cellIs" dxfId="12105" priority="17787" operator="greaterThan">
      <formula>0.505</formula>
    </cfRule>
    <cfRule type="cellIs" dxfId="12104" priority="17788" operator="between">
      <formula>0.48</formula>
      <formula>0.5</formula>
    </cfRule>
    <cfRule type="cellIs" dxfId="12103" priority="17789" stopIfTrue="1" operator="between">
      <formula>0</formula>
      <formula>0.255</formula>
    </cfRule>
  </conditionalFormatting>
  <conditionalFormatting sqref="AA148">
    <cfRule type="cellIs" dxfId="12102" priority="17780" operator="between">
      <formula>0.56251</formula>
      <formula>0.7125</formula>
    </cfRule>
    <cfRule type="cellIs" dxfId="12101" priority="17781" operator="between">
      <formula>0.3751</formula>
      <formula>0.5625</formula>
    </cfRule>
    <cfRule type="cellIs" dxfId="12100" priority="17782" operator="greaterThan">
      <formula>0.751</formula>
    </cfRule>
    <cfRule type="cellIs" dxfId="12099" priority="17783" operator="between">
      <formula>0.71251</formula>
      <formula>0.75</formula>
    </cfRule>
    <cfRule type="cellIs" dxfId="12098" priority="17784" stopIfTrue="1" operator="between">
      <formula>0</formula>
      <formula>0.375</formula>
    </cfRule>
  </conditionalFormatting>
  <conditionalFormatting sqref="AC148">
    <cfRule type="cellIs" dxfId="12097" priority="17775" operator="between">
      <formula>0.56251</formula>
      <formula>0.7125</formula>
    </cfRule>
    <cfRule type="cellIs" dxfId="12096" priority="17776" operator="between">
      <formula>0.3751</formula>
      <formula>0.5625</formula>
    </cfRule>
    <cfRule type="cellIs" dxfId="12095" priority="17777" operator="greaterThan">
      <formula>0.751</formula>
    </cfRule>
    <cfRule type="cellIs" dxfId="12094" priority="17778" operator="between">
      <formula>0.71251</formula>
      <formula>0.75</formula>
    </cfRule>
    <cfRule type="cellIs" dxfId="12093" priority="17779" stopIfTrue="1" operator="between">
      <formula>0</formula>
      <formula>0.375</formula>
    </cfRule>
  </conditionalFormatting>
  <conditionalFormatting sqref="AB148">
    <cfRule type="cellIs" dxfId="12092" priority="17770" operator="between">
      <formula>0.56251</formula>
      <formula>0.7125</formula>
    </cfRule>
    <cfRule type="cellIs" dxfId="12091" priority="17771" operator="between">
      <formula>0.3751</formula>
      <formula>0.5625</formula>
    </cfRule>
    <cfRule type="cellIs" dxfId="12090" priority="17772" operator="greaterThan">
      <formula>0.751</formula>
    </cfRule>
    <cfRule type="cellIs" dxfId="12089" priority="17773" operator="between">
      <formula>0.71251</formula>
      <formula>0.75</formula>
    </cfRule>
    <cfRule type="cellIs" dxfId="12088" priority="17774" stopIfTrue="1" operator="between">
      <formula>0</formula>
      <formula>0.375</formula>
    </cfRule>
  </conditionalFormatting>
  <conditionalFormatting sqref="AG149 AI149 S149 Z149">
    <cfRule type="cellIs" dxfId="12087" priority="17753" operator="between">
      <formula>0.76</formula>
      <formula>0.95</formula>
    </cfRule>
    <cfRule type="cellIs" dxfId="12086" priority="17754" operator="between">
      <formula>0.51</formula>
      <formula>0.75</formula>
    </cfRule>
    <cfRule type="cellIs" dxfId="12085" priority="17755" operator="greaterThan">
      <formula>1</formula>
    </cfRule>
    <cfRule type="cellIs" dxfId="12084" priority="17756" operator="between">
      <formula>0.95</formula>
      <formula>1</formula>
    </cfRule>
    <cfRule type="cellIs" dxfId="12083" priority="17757" stopIfTrue="1" operator="between">
      <formula>0</formula>
      <formula>0.5</formula>
    </cfRule>
  </conditionalFormatting>
  <conditionalFormatting sqref="R149">
    <cfRule type="cellIs" dxfId="12082" priority="17743" operator="between">
      <formula>0.76</formula>
      <formula>0.95</formula>
    </cfRule>
    <cfRule type="cellIs" dxfId="12081" priority="17744" operator="between">
      <formula>0.51</formula>
      <formula>0.75</formula>
    </cfRule>
    <cfRule type="cellIs" dxfId="12080" priority="17745" operator="greaterThan">
      <formula>1</formula>
    </cfRule>
    <cfRule type="cellIs" dxfId="12079" priority="17746" operator="between">
      <formula>0.95</formula>
      <formula>1</formula>
    </cfRule>
    <cfRule type="cellIs" dxfId="12078" priority="17747" stopIfTrue="1" operator="between">
      <formula>0</formula>
      <formula>0.5</formula>
    </cfRule>
  </conditionalFormatting>
  <conditionalFormatting sqref="Y149">
    <cfRule type="cellIs" dxfId="12077" priority="17738" operator="between">
      <formula>0.76</formula>
      <formula>0.95</formula>
    </cfRule>
    <cfRule type="cellIs" dxfId="12076" priority="17739" operator="between">
      <formula>0.51</formula>
      <formula>0.75</formula>
    </cfRule>
    <cfRule type="cellIs" dxfId="12075" priority="17740" operator="greaterThan">
      <formula>1</formula>
    </cfRule>
    <cfRule type="cellIs" dxfId="12074" priority="17741" operator="between">
      <formula>0.95</formula>
      <formula>1</formula>
    </cfRule>
    <cfRule type="cellIs" dxfId="12073" priority="17742" stopIfTrue="1" operator="between">
      <formula>0</formula>
      <formula>0.5</formula>
    </cfRule>
  </conditionalFormatting>
  <conditionalFormatting sqref="AF149">
    <cfRule type="cellIs" dxfId="12072" priority="17733" operator="between">
      <formula>0.76</formula>
      <formula>0.95</formula>
    </cfRule>
    <cfRule type="cellIs" dxfId="12071" priority="17734" operator="between">
      <formula>0.51</formula>
      <formula>0.75</formula>
    </cfRule>
    <cfRule type="cellIs" dxfId="12070" priority="17735" operator="greaterThan">
      <formula>1</formula>
    </cfRule>
    <cfRule type="cellIs" dxfId="12069" priority="17736" operator="between">
      <formula>0.95</formula>
      <formula>1</formula>
    </cfRule>
    <cfRule type="cellIs" dxfId="12068" priority="17737" stopIfTrue="1" operator="between">
      <formula>0</formula>
      <formula>0.5</formula>
    </cfRule>
  </conditionalFormatting>
  <conditionalFormatting sqref="AH149">
    <cfRule type="cellIs" dxfId="12067" priority="17728" operator="between">
      <formula>0.76</formula>
      <formula>0.95</formula>
    </cfRule>
    <cfRule type="cellIs" dxfId="12066" priority="17729" operator="between">
      <formula>0.51</formula>
      <formula>0.75</formula>
    </cfRule>
    <cfRule type="cellIs" dxfId="12065" priority="17730" operator="greaterThan">
      <formula>1</formula>
    </cfRule>
    <cfRule type="cellIs" dxfId="12064" priority="17731" operator="between">
      <formula>0.95</formula>
      <formula>1</formula>
    </cfRule>
    <cfRule type="cellIs" dxfId="12063" priority="17732" stopIfTrue="1" operator="between">
      <formula>0</formula>
      <formula>0.5</formula>
    </cfRule>
  </conditionalFormatting>
  <conditionalFormatting sqref="T149">
    <cfRule type="cellIs" dxfId="12062" priority="17713" operator="between">
      <formula>0.3751</formula>
      <formula>0.475</formula>
    </cfRule>
    <cfRule type="cellIs" dxfId="12061" priority="17714" operator="between">
      <formula>0.2551</formula>
      <formula>0.375</formula>
    </cfRule>
    <cfRule type="cellIs" dxfId="12060" priority="17715" operator="greaterThan">
      <formula>0.505</formula>
    </cfRule>
    <cfRule type="cellIs" dxfId="12059" priority="17716" operator="between">
      <formula>0.48</formula>
      <formula>0.5</formula>
    </cfRule>
    <cfRule type="cellIs" dxfId="12058" priority="17717" stopIfTrue="1" operator="between">
      <formula>0</formula>
      <formula>0.255</formula>
    </cfRule>
  </conditionalFormatting>
  <conditionalFormatting sqref="U149:V149">
    <cfRule type="cellIs" dxfId="12057" priority="17708" operator="between">
      <formula>0.376</formula>
      <formula>0.475</formula>
    </cfRule>
    <cfRule type="cellIs" dxfId="12056" priority="17709" operator="between">
      <formula>0.2551</formula>
      <formula>0.3751</formula>
    </cfRule>
    <cfRule type="cellIs" dxfId="12055" priority="17710" operator="greaterThan">
      <formula>0.505</formula>
    </cfRule>
    <cfRule type="cellIs" dxfId="12054" priority="17711" operator="between">
      <formula>0.48</formula>
      <formula>0.5</formula>
    </cfRule>
    <cfRule type="cellIs" dxfId="12053" priority="17712" stopIfTrue="1" operator="between">
      <formula>0</formula>
      <formula>0.255</formula>
    </cfRule>
  </conditionalFormatting>
  <conditionalFormatting sqref="AA149">
    <cfRule type="cellIs" dxfId="12052" priority="17703" operator="between">
      <formula>0.56251</formula>
      <formula>0.7125</formula>
    </cfRule>
    <cfRule type="cellIs" dxfId="12051" priority="17704" operator="between">
      <formula>0.3751</formula>
      <formula>0.5625</formula>
    </cfRule>
    <cfRule type="cellIs" dxfId="12050" priority="17705" operator="greaterThan">
      <formula>0.751</formula>
    </cfRule>
    <cfRule type="cellIs" dxfId="12049" priority="17706" operator="between">
      <formula>0.71251</formula>
      <formula>0.75</formula>
    </cfRule>
    <cfRule type="cellIs" dxfId="12048" priority="17707" stopIfTrue="1" operator="between">
      <formula>0</formula>
      <formula>0.375</formula>
    </cfRule>
  </conditionalFormatting>
  <conditionalFormatting sqref="AC149">
    <cfRule type="cellIs" dxfId="12047" priority="17698" operator="between">
      <formula>0.56251</formula>
      <formula>0.7125</formula>
    </cfRule>
    <cfRule type="cellIs" dxfId="12046" priority="17699" operator="between">
      <formula>0.3751</formula>
      <formula>0.5625</formula>
    </cfRule>
    <cfRule type="cellIs" dxfId="12045" priority="17700" operator="greaterThan">
      <formula>0.751</formula>
    </cfRule>
    <cfRule type="cellIs" dxfId="12044" priority="17701" operator="between">
      <formula>0.71251</formula>
      <formula>0.75</formula>
    </cfRule>
    <cfRule type="cellIs" dxfId="12043" priority="17702" stopIfTrue="1" operator="between">
      <formula>0</formula>
      <formula>0.375</formula>
    </cfRule>
  </conditionalFormatting>
  <conditionalFormatting sqref="AB149">
    <cfRule type="cellIs" dxfId="12042" priority="17693" operator="between">
      <formula>0.56251</formula>
      <formula>0.7125</formula>
    </cfRule>
    <cfRule type="cellIs" dxfId="12041" priority="17694" operator="between">
      <formula>0.3751</formula>
      <formula>0.5625</formula>
    </cfRule>
    <cfRule type="cellIs" dxfId="12040" priority="17695" operator="greaterThan">
      <formula>0.751</formula>
    </cfRule>
    <cfRule type="cellIs" dxfId="12039" priority="17696" operator="between">
      <formula>0.71251</formula>
      <formula>0.75</formula>
    </cfRule>
    <cfRule type="cellIs" dxfId="12038" priority="17697" stopIfTrue="1" operator="between">
      <formula>0</formula>
      <formula>0.375</formula>
    </cfRule>
  </conditionalFormatting>
  <conditionalFormatting sqref="AG150 AI150 S150 Z150">
    <cfRule type="cellIs" dxfId="12037" priority="17676" operator="between">
      <formula>0.76</formula>
      <formula>0.95</formula>
    </cfRule>
    <cfRule type="cellIs" dxfId="12036" priority="17677" operator="between">
      <formula>0.51</formula>
      <formula>0.75</formula>
    </cfRule>
    <cfRule type="cellIs" dxfId="12035" priority="17678" operator="greaterThan">
      <formula>1</formula>
    </cfRule>
    <cfRule type="cellIs" dxfId="12034" priority="17679" operator="between">
      <formula>0.95</formula>
      <formula>1</formula>
    </cfRule>
    <cfRule type="cellIs" dxfId="12033" priority="17680" stopIfTrue="1" operator="between">
      <formula>0</formula>
      <formula>0.5</formula>
    </cfRule>
  </conditionalFormatting>
  <conditionalFormatting sqref="R150">
    <cfRule type="cellIs" dxfId="12032" priority="17666" operator="between">
      <formula>0.76</formula>
      <formula>0.95</formula>
    </cfRule>
    <cfRule type="cellIs" dxfId="12031" priority="17667" operator="between">
      <formula>0.51</formula>
      <formula>0.75</formula>
    </cfRule>
    <cfRule type="cellIs" dxfId="12030" priority="17668" operator="greaterThan">
      <formula>1</formula>
    </cfRule>
    <cfRule type="cellIs" dxfId="12029" priority="17669" operator="between">
      <formula>0.95</formula>
      <formula>1</formula>
    </cfRule>
    <cfRule type="cellIs" dxfId="12028" priority="17670" stopIfTrue="1" operator="between">
      <formula>0</formula>
      <formula>0.5</formula>
    </cfRule>
  </conditionalFormatting>
  <conditionalFormatting sqref="Y150">
    <cfRule type="cellIs" dxfId="12027" priority="17661" operator="between">
      <formula>0.76</formula>
      <formula>0.95</formula>
    </cfRule>
    <cfRule type="cellIs" dxfId="12026" priority="17662" operator="between">
      <formula>0.51</formula>
      <formula>0.75</formula>
    </cfRule>
    <cfRule type="cellIs" dxfId="12025" priority="17663" operator="greaterThan">
      <formula>1</formula>
    </cfRule>
    <cfRule type="cellIs" dxfId="12024" priority="17664" operator="between">
      <formula>0.95</formula>
      <formula>1</formula>
    </cfRule>
    <cfRule type="cellIs" dxfId="12023" priority="17665" stopIfTrue="1" operator="between">
      <formula>0</formula>
      <formula>0.5</formula>
    </cfRule>
  </conditionalFormatting>
  <conditionalFormatting sqref="AF150">
    <cfRule type="cellIs" dxfId="12022" priority="17656" operator="between">
      <formula>0.76</formula>
      <formula>0.95</formula>
    </cfRule>
    <cfRule type="cellIs" dxfId="12021" priority="17657" operator="between">
      <formula>0.51</formula>
      <formula>0.75</formula>
    </cfRule>
    <cfRule type="cellIs" dxfId="12020" priority="17658" operator="greaterThan">
      <formula>1</formula>
    </cfRule>
    <cfRule type="cellIs" dxfId="12019" priority="17659" operator="between">
      <formula>0.95</formula>
      <formula>1</formula>
    </cfRule>
    <cfRule type="cellIs" dxfId="12018" priority="17660" stopIfTrue="1" operator="between">
      <formula>0</formula>
      <formula>0.5</formula>
    </cfRule>
  </conditionalFormatting>
  <conditionalFormatting sqref="AH150">
    <cfRule type="cellIs" dxfId="12017" priority="17651" operator="between">
      <formula>0.76</formula>
      <formula>0.95</formula>
    </cfRule>
    <cfRule type="cellIs" dxfId="12016" priority="17652" operator="between">
      <formula>0.51</formula>
      <formula>0.75</formula>
    </cfRule>
    <cfRule type="cellIs" dxfId="12015" priority="17653" operator="greaterThan">
      <formula>1</formula>
    </cfRule>
    <cfRule type="cellIs" dxfId="12014" priority="17654" operator="between">
      <formula>0.95</formula>
      <formula>1</formula>
    </cfRule>
    <cfRule type="cellIs" dxfId="12013" priority="17655" stopIfTrue="1" operator="between">
      <formula>0</formula>
      <formula>0.5</formula>
    </cfRule>
  </conditionalFormatting>
  <conditionalFormatting sqref="T150">
    <cfRule type="cellIs" dxfId="12012" priority="17636" operator="between">
      <formula>0.3751</formula>
      <formula>0.475</formula>
    </cfRule>
    <cfRule type="cellIs" dxfId="12011" priority="17637" operator="between">
      <formula>0.2551</formula>
      <formula>0.375</formula>
    </cfRule>
    <cfRule type="cellIs" dxfId="12010" priority="17638" operator="greaterThan">
      <formula>0.505</formula>
    </cfRule>
    <cfRule type="cellIs" dxfId="12009" priority="17639" operator="between">
      <formula>0.48</formula>
      <formula>0.5</formula>
    </cfRule>
    <cfRule type="cellIs" dxfId="12008" priority="17640" stopIfTrue="1" operator="between">
      <formula>0</formula>
      <formula>0.255</formula>
    </cfRule>
  </conditionalFormatting>
  <conditionalFormatting sqref="U150:V150">
    <cfRule type="cellIs" dxfId="12007" priority="17631" operator="between">
      <formula>0.376</formula>
      <formula>0.475</formula>
    </cfRule>
    <cfRule type="cellIs" dxfId="12006" priority="17632" operator="between">
      <formula>0.2551</formula>
      <formula>0.3751</formula>
    </cfRule>
    <cfRule type="cellIs" dxfId="12005" priority="17633" operator="greaterThan">
      <formula>0.505</formula>
    </cfRule>
    <cfRule type="cellIs" dxfId="12004" priority="17634" operator="between">
      <formula>0.48</formula>
      <formula>0.5</formula>
    </cfRule>
    <cfRule type="cellIs" dxfId="12003" priority="17635" stopIfTrue="1" operator="between">
      <formula>0</formula>
      <formula>0.255</formula>
    </cfRule>
  </conditionalFormatting>
  <conditionalFormatting sqref="AA150">
    <cfRule type="cellIs" dxfId="12002" priority="17626" operator="between">
      <formula>0.56251</formula>
      <formula>0.7125</formula>
    </cfRule>
    <cfRule type="cellIs" dxfId="12001" priority="17627" operator="between">
      <formula>0.3751</formula>
      <formula>0.5625</formula>
    </cfRule>
    <cfRule type="cellIs" dxfId="12000" priority="17628" operator="greaterThan">
      <formula>0.751</formula>
    </cfRule>
    <cfRule type="cellIs" dxfId="11999" priority="17629" operator="between">
      <formula>0.71251</formula>
      <formula>0.75</formula>
    </cfRule>
    <cfRule type="cellIs" dxfId="11998" priority="17630" stopIfTrue="1" operator="between">
      <formula>0</formula>
      <formula>0.375</formula>
    </cfRule>
  </conditionalFormatting>
  <conditionalFormatting sqref="AC150">
    <cfRule type="cellIs" dxfId="11997" priority="17621" operator="between">
      <formula>0.56251</formula>
      <formula>0.7125</formula>
    </cfRule>
    <cfRule type="cellIs" dxfId="11996" priority="17622" operator="between">
      <formula>0.3751</formula>
      <formula>0.5625</formula>
    </cfRule>
    <cfRule type="cellIs" dxfId="11995" priority="17623" operator="greaterThan">
      <formula>0.751</formula>
    </cfRule>
    <cfRule type="cellIs" dxfId="11994" priority="17624" operator="between">
      <formula>0.71251</formula>
      <formula>0.75</formula>
    </cfRule>
    <cfRule type="cellIs" dxfId="11993" priority="17625" stopIfTrue="1" operator="between">
      <formula>0</formula>
      <formula>0.375</formula>
    </cfRule>
  </conditionalFormatting>
  <conditionalFormatting sqref="AB150">
    <cfRule type="cellIs" dxfId="11992" priority="17616" operator="between">
      <formula>0.56251</formula>
      <formula>0.7125</formula>
    </cfRule>
    <cfRule type="cellIs" dxfId="11991" priority="17617" operator="between">
      <formula>0.3751</formula>
      <formula>0.5625</formula>
    </cfRule>
    <cfRule type="cellIs" dxfId="11990" priority="17618" operator="greaterThan">
      <formula>0.751</formula>
    </cfRule>
    <cfRule type="cellIs" dxfId="11989" priority="17619" operator="between">
      <formula>0.71251</formula>
      <formula>0.75</formula>
    </cfRule>
    <cfRule type="cellIs" dxfId="11988" priority="17620" stopIfTrue="1" operator="between">
      <formula>0</formula>
      <formula>0.375</formula>
    </cfRule>
  </conditionalFormatting>
  <conditionalFormatting sqref="AG151:AG153 AI151:AI153 S151:S153 Z151:Z153">
    <cfRule type="cellIs" dxfId="11987" priority="17599" operator="between">
      <formula>0.76</formula>
      <formula>0.95</formula>
    </cfRule>
    <cfRule type="cellIs" dxfId="11986" priority="17600" operator="between">
      <formula>0.51</formula>
      <formula>0.75</formula>
    </cfRule>
    <cfRule type="cellIs" dxfId="11985" priority="17601" operator="greaterThan">
      <formula>1</formula>
    </cfRule>
    <cfRule type="cellIs" dxfId="11984" priority="17602" operator="between">
      <formula>0.95</formula>
      <formula>1</formula>
    </cfRule>
    <cfRule type="cellIs" dxfId="11983" priority="17603" stopIfTrue="1" operator="between">
      <formula>0</formula>
      <formula>0.5</formula>
    </cfRule>
  </conditionalFormatting>
  <conditionalFormatting sqref="R151:R153">
    <cfRule type="cellIs" dxfId="11982" priority="17589" operator="between">
      <formula>0.76</formula>
      <formula>0.95</formula>
    </cfRule>
    <cfRule type="cellIs" dxfId="11981" priority="17590" operator="between">
      <formula>0.51</formula>
      <formula>0.75</formula>
    </cfRule>
    <cfRule type="cellIs" dxfId="11980" priority="17591" operator="greaterThan">
      <formula>1</formula>
    </cfRule>
    <cfRule type="cellIs" dxfId="11979" priority="17592" operator="between">
      <formula>0.95</formula>
      <formula>1</formula>
    </cfRule>
    <cfRule type="cellIs" dxfId="11978" priority="17593" stopIfTrue="1" operator="between">
      <formula>0</formula>
      <formula>0.5</formula>
    </cfRule>
  </conditionalFormatting>
  <conditionalFormatting sqref="Y151:Y153">
    <cfRule type="cellIs" dxfId="11977" priority="17584" operator="between">
      <formula>0.76</formula>
      <formula>0.95</formula>
    </cfRule>
    <cfRule type="cellIs" dxfId="11976" priority="17585" operator="between">
      <formula>0.51</formula>
      <formula>0.75</formula>
    </cfRule>
    <cfRule type="cellIs" dxfId="11975" priority="17586" operator="greaterThan">
      <formula>1</formula>
    </cfRule>
    <cfRule type="cellIs" dxfId="11974" priority="17587" operator="between">
      <formula>0.95</formula>
      <formula>1</formula>
    </cfRule>
    <cfRule type="cellIs" dxfId="11973" priority="17588" stopIfTrue="1" operator="between">
      <formula>0</formula>
      <formula>0.5</formula>
    </cfRule>
  </conditionalFormatting>
  <conditionalFormatting sqref="AF151:AF153">
    <cfRule type="cellIs" dxfId="11972" priority="17579" operator="between">
      <formula>0.76</formula>
      <formula>0.95</formula>
    </cfRule>
    <cfRule type="cellIs" dxfId="11971" priority="17580" operator="between">
      <formula>0.51</formula>
      <formula>0.75</formula>
    </cfRule>
    <cfRule type="cellIs" dxfId="11970" priority="17581" operator="greaterThan">
      <formula>1</formula>
    </cfRule>
    <cfRule type="cellIs" dxfId="11969" priority="17582" operator="between">
      <formula>0.95</formula>
      <formula>1</formula>
    </cfRule>
    <cfRule type="cellIs" dxfId="11968" priority="17583" stopIfTrue="1" operator="between">
      <formula>0</formula>
      <formula>0.5</formula>
    </cfRule>
  </conditionalFormatting>
  <conditionalFormatting sqref="AH151:AH153">
    <cfRule type="cellIs" dxfId="11967" priority="17574" operator="between">
      <formula>0.76</formula>
      <formula>0.95</formula>
    </cfRule>
    <cfRule type="cellIs" dxfId="11966" priority="17575" operator="between">
      <formula>0.51</formula>
      <formula>0.75</formula>
    </cfRule>
    <cfRule type="cellIs" dxfId="11965" priority="17576" operator="greaterThan">
      <formula>1</formula>
    </cfRule>
    <cfRule type="cellIs" dxfId="11964" priority="17577" operator="between">
      <formula>0.95</formula>
      <formula>1</formula>
    </cfRule>
    <cfRule type="cellIs" dxfId="11963" priority="17578" stopIfTrue="1" operator="between">
      <formula>0</formula>
      <formula>0.5</formula>
    </cfRule>
  </conditionalFormatting>
  <conditionalFormatting sqref="T151:T153">
    <cfRule type="cellIs" dxfId="11962" priority="17559" operator="between">
      <formula>0.3751</formula>
      <formula>0.475</formula>
    </cfRule>
    <cfRule type="cellIs" dxfId="11961" priority="17560" operator="between">
      <formula>0.2551</formula>
      <formula>0.375</formula>
    </cfRule>
    <cfRule type="cellIs" dxfId="11960" priority="17561" operator="greaterThan">
      <formula>0.505</formula>
    </cfRule>
    <cfRule type="cellIs" dxfId="11959" priority="17562" operator="between">
      <formula>0.48</formula>
      <formula>0.5</formula>
    </cfRule>
    <cfRule type="cellIs" dxfId="11958" priority="17563" stopIfTrue="1" operator="between">
      <formula>0</formula>
      <formula>0.255</formula>
    </cfRule>
  </conditionalFormatting>
  <conditionalFormatting sqref="U151:V153">
    <cfRule type="cellIs" dxfId="11957" priority="17554" operator="between">
      <formula>0.376</formula>
      <formula>0.475</formula>
    </cfRule>
    <cfRule type="cellIs" dxfId="11956" priority="17555" operator="between">
      <formula>0.2551</formula>
      <formula>0.3751</formula>
    </cfRule>
    <cfRule type="cellIs" dxfId="11955" priority="17556" operator="greaterThan">
      <formula>0.505</formula>
    </cfRule>
    <cfRule type="cellIs" dxfId="11954" priority="17557" operator="between">
      <formula>0.48</formula>
      <formula>0.5</formula>
    </cfRule>
    <cfRule type="cellIs" dxfId="11953" priority="17558" stopIfTrue="1" operator="between">
      <formula>0</formula>
      <formula>0.255</formula>
    </cfRule>
  </conditionalFormatting>
  <conditionalFormatting sqref="AA151:AA153">
    <cfRule type="cellIs" dxfId="11952" priority="17549" operator="between">
      <formula>0.56251</formula>
      <formula>0.7125</formula>
    </cfRule>
    <cfRule type="cellIs" dxfId="11951" priority="17550" operator="between">
      <formula>0.3751</formula>
      <formula>0.5625</formula>
    </cfRule>
    <cfRule type="cellIs" dxfId="11950" priority="17551" operator="greaterThan">
      <formula>0.751</formula>
    </cfRule>
    <cfRule type="cellIs" dxfId="11949" priority="17552" operator="between">
      <formula>0.71251</formula>
      <formula>0.75</formula>
    </cfRule>
    <cfRule type="cellIs" dxfId="11948" priority="17553" stopIfTrue="1" operator="between">
      <formula>0</formula>
      <formula>0.375</formula>
    </cfRule>
  </conditionalFormatting>
  <conditionalFormatting sqref="AC151:AC153">
    <cfRule type="cellIs" dxfId="11947" priority="17544" operator="between">
      <formula>0.56251</formula>
      <formula>0.7125</formula>
    </cfRule>
    <cfRule type="cellIs" dxfId="11946" priority="17545" operator="between">
      <formula>0.3751</formula>
      <formula>0.5625</formula>
    </cfRule>
    <cfRule type="cellIs" dxfId="11945" priority="17546" operator="greaterThan">
      <formula>0.751</formula>
    </cfRule>
    <cfRule type="cellIs" dxfId="11944" priority="17547" operator="between">
      <formula>0.71251</formula>
      <formula>0.75</formula>
    </cfRule>
    <cfRule type="cellIs" dxfId="11943" priority="17548" stopIfTrue="1" operator="between">
      <formula>0</formula>
      <formula>0.375</formula>
    </cfRule>
  </conditionalFormatting>
  <conditionalFormatting sqref="AB151:AB153">
    <cfRule type="cellIs" dxfId="11942" priority="17539" operator="between">
      <formula>0.56251</formula>
      <formula>0.7125</formula>
    </cfRule>
    <cfRule type="cellIs" dxfId="11941" priority="17540" operator="between">
      <formula>0.3751</formula>
      <formula>0.5625</formula>
    </cfRule>
    <cfRule type="cellIs" dxfId="11940" priority="17541" operator="greaterThan">
      <formula>0.751</formula>
    </cfRule>
    <cfRule type="cellIs" dxfId="11939" priority="17542" operator="between">
      <formula>0.71251</formula>
      <formula>0.75</formula>
    </cfRule>
    <cfRule type="cellIs" dxfId="11938" priority="17543" stopIfTrue="1" operator="between">
      <formula>0</formula>
      <formula>0.375</formula>
    </cfRule>
  </conditionalFormatting>
  <conditionalFormatting sqref="S212">
    <cfRule type="cellIs" dxfId="11937" priority="17512" operator="between">
      <formula>0.76</formula>
      <formula>0.95</formula>
    </cfRule>
    <cfRule type="cellIs" dxfId="11936" priority="17513" operator="between">
      <formula>0.51</formula>
      <formula>0.75</formula>
    </cfRule>
    <cfRule type="cellIs" dxfId="11935" priority="17514" operator="greaterThan">
      <formula>1</formula>
    </cfRule>
    <cfRule type="cellIs" dxfId="11934" priority="17515" operator="between">
      <formula>0.95</formula>
      <formula>1</formula>
    </cfRule>
    <cfRule type="cellIs" dxfId="11933" priority="17516" stopIfTrue="1" operator="between">
      <formula>0</formula>
      <formula>0.5</formula>
    </cfRule>
  </conditionalFormatting>
  <conditionalFormatting sqref="R212">
    <cfRule type="cellIs" dxfId="11932" priority="17507" operator="between">
      <formula>0.76</formula>
      <formula>0.95</formula>
    </cfRule>
    <cfRule type="cellIs" dxfId="11931" priority="17508" operator="between">
      <formula>0.51</formula>
      <formula>0.75</formula>
    </cfRule>
    <cfRule type="cellIs" dxfId="11930" priority="17509" operator="greaterThan">
      <formula>1</formula>
    </cfRule>
    <cfRule type="cellIs" dxfId="11929" priority="17510" operator="between">
      <formula>0.95</formula>
      <formula>1</formula>
    </cfRule>
    <cfRule type="cellIs" dxfId="11928" priority="17511" stopIfTrue="1" operator="between">
      <formula>0</formula>
      <formula>0.5</formula>
    </cfRule>
  </conditionalFormatting>
  <conditionalFormatting sqref="Y212">
    <cfRule type="cellIs" dxfId="11927" priority="17502" operator="between">
      <formula>0.76</formula>
      <formula>0.95</formula>
    </cfRule>
    <cfRule type="cellIs" dxfId="11926" priority="17503" operator="between">
      <formula>0.51</formula>
      <formula>0.75</formula>
    </cfRule>
    <cfRule type="cellIs" dxfId="11925" priority="17504" operator="greaterThan">
      <formula>1</formula>
    </cfRule>
    <cfRule type="cellIs" dxfId="11924" priority="17505" operator="between">
      <formula>0.95</formula>
      <formula>1</formula>
    </cfRule>
    <cfRule type="cellIs" dxfId="11923" priority="17506" stopIfTrue="1" operator="between">
      <formula>0</formula>
      <formula>0.5</formula>
    </cfRule>
  </conditionalFormatting>
  <conditionalFormatting sqref="AF212">
    <cfRule type="cellIs" dxfId="11922" priority="17497" operator="between">
      <formula>0.76</formula>
      <formula>0.95</formula>
    </cfRule>
    <cfRule type="cellIs" dxfId="11921" priority="17498" operator="between">
      <formula>0.51</formula>
      <formula>0.75</formula>
    </cfRule>
    <cfRule type="cellIs" dxfId="11920" priority="17499" operator="greaterThan">
      <formula>1</formula>
    </cfRule>
    <cfRule type="cellIs" dxfId="11919" priority="17500" operator="between">
      <formula>0.95</formula>
      <formula>1</formula>
    </cfRule>
    <cfRule type="cellIs" dxfId="11918" priority="17501" stopIfTrue="1" operator="between">
      <formula>0</formula>
      <formula>0.5</formula>
    </cfRule>
  </conditionalFormatting>
  <conditionalFormatting sqref="AH212">
    <cfRule type="cellIs" dxfId="11917" priority="17492" operator="between">
      <formula>0.76</formula>
      <formula>0.95</formula>
    </cfRule>
    <cfRule type="cellIs" dxfId="11916" priority="17493" operator="between">
      <formula>0.51</formula>
      <formula>0.75</formula>
    </cfRule>
    <cfRule type="cellIs" dxfId="11915" priority="17494" operator="greaterThan">
      <formula>1</formula>
    </cfRule>
    <cfRule type="cellIs" dxfId="11914" priority="17495" operator="between">
      <formula>0.95</formula>
      <formula>1</formula>
    </cfRule>
    <cfRule type="cellIs" dxfId="11913" priority="17496" stopIfTrue="1" operator="between">
      <formula>0</formula>
      <formula>0.5</formula>
    </cfRule>
  </conditionalFormatting>
  <conditionalFormatting sqref="T212">
    <cfRule type="cellIs" dxfId="11912" priority="17477" operator="between">
      <formula>0.3751</formula>
      <formula>0.475</formula>
    </cfRule>
    <cfRule type="cellIs" dxfId="11911" priority="17478" operator="between">
      <formula>0.2551</formula>
      <formula>0.375</formula>
    </cfRule>
    <cfRule type="cellIs" dxfId="11910" priority="17479" operator="greaterThan">
      <formula>0.505</formula>
    </cfRule>
    <cfRule type="cellIs" dxfId="11909" priority="17480" operator="between">
      <formula>0.48</formula>
      <formula>0.5</formula>
    </cfRule>
    <cfRule type="cellIs" dxfId="11908" priority="17481" stopIfTrue="1" operator="between">
      <formula>0</formula>
      <formula>0.255</formula>
    </cfRule>
  </conditionalFormatting>
  <conditionalFormatting sqref="U212:V212">
    <cfRule type="cellIs" dxfId="11907" priority="17472" operator="between">
      <formula>0.376</formula>
      <formula>0.475</formula>
    </cfRule>
    <cfRule type="cellIs" dxfId="11906" priority="17473" operator="between">
      <formula>0.2551</formula>
      <formula>0.3751</formula>
    </cfRule>
    <cfRule type="cellIs" dxfId="11905" priority="17474" operator="greaterThan">
      <formula>0.505</formula>
    </cfRule>
    <cfRule type="cellIs" dxfId="11904" priority="17475" operator="between">
      <formula>0.48</formula>
      <formula>0.5</formula>
    </cfRule>
    <cfRule type="cellIs" dxfId="11903" priority="17476" stopIfTrue="1" operator="between">
      <formula>0</formula>
      <formula>0.255</formula>
    </cfRule>
  </conditionalFormatting>
  <conditionalFormatting sqref="Z212">
    <cfRule type="cellIs" dxfId="11902" priority="17467" operator="between">
      <formula>0.76</formula>
      <formula>0.95</formula>
    </cfRule>
    <cfRule type="cellIs" dxfId="11901" priority="17468" operator="between">
      <formula>0.51</formula>
      <formula>0.75</formula>
    </cfRule>
    <cfRule type="cellIs" dxfId="11900" priority="17469" operator="greaterThan">
      <formula>1</formula>
    </cfRule>
    <cfRule type="cellIs" dxfId="11899" priority="17470" operator="between">
      <formula>0.95</formula>
      <formula>1</formula>
    </cfRule>
    <cfRule type="cellIs" dxfId="11898" priority="17471" stopIfTrue="1" operator="between">
      <formula>0</formula>
      <formula>0.5</formula>
    </cfRule>
  </conditionalFormatting>
  <conditionalFormatting sqref="AG212">
    <cfRule type="cellIs" dxfId="11897" priority="17462" operator="between">
      <formula>0.76</formula>
      <formula>0.95</formula>
    </cfRule>
    <cfRule type="cellIs" dxfId="11896" priority="17463" operator="between">
      <formula>0.51</formula>
      <formula>0.75</formula>
    </cfRule>
    <cfRule type="cellIs" dxfId="11895" priority="17464" operator="greaterThan">
      <formula>1</formula>
    </cfRule>
    <cfRule type="cellIs" dxfId="11894" priority="17465" operator="between">
      <formula>0.95</formula>
      <formula>1</formula>
    </cfRule>
    <cfRule type="cellIs" dxfId="11893" priority="17466" stopIfTrue="1" operator="between">
      <formula>0</formula>
      <formula>0.5</formula>
    </cfRule>
  </conditionalFormatting>
  <conditionalFormatting sqref="AI212">
    <cfRule type="cellIs" dxfId="11892" priority="17457" operator="between">
      <formula>0.76</formula>
      <formula>0.95</formula>
    </cfRule>
    <cfRule type="cellIs" dxfId="11891" priority="17458" operator="between">
      <formula>0.51</formula>
      <formula>0.75</formula>
    </cfRule>
    <cfRule type="cellIs" dxfId="11890" priority="17459" operator="greaterThan">
      <formula>1</formula>
    </cfRule>
    <cfRule type="cellIs" dxfId="11889" priority="17460" operator="between">
      <formula>0.95</formula>
      <formula>1</formula>
    </cfRule>
    <cfRule type="cellIs" dxfId="11888" priority="17461" stopIfTrue="1" operator="between">
      <formula>0</formula>
      <formula>0.5</formula>
    </cfRule>
  </conditionalFormatting>
  <conditionalFormatting sqref="AA212">
    <cfRule type="cellIs" dxfId="11887" priority="17452" operator="between">
      <formula>0.56251</formula>
      <formula>0.7125</formula>
    </cfRule>
    <cfRule type="cellIs" dxfId="11886" priority="17453" operator="between">
      <formula>0.3751</formula>
      <formula>0.5625</formula>
    </cfRule>
    <cfRule type="cellIs" dxfId="11885" priority="17454" operator="greaterThan">
      <formula>0.751</formula>
    </cfRule>
    <cfRule type="cellIs" dxfId="11884" priority="17455" operator="between">
      <formula>0.71251</formula>
      <formula>0.75</formula>
    </cfRule>
    <cfRule type="cellIs" dxfId="11883" priority="17456" stopIfTrue="1" operator="between">
      <formula>0</formula>
      <formula>0.375</formula>
    </cfRule>
  </conditionalFormatting>
  <conditionalFormatting sqref="AC212">
    <cfRule type="cellIs" dxfId="11882" priority="17447" operator="between">
      <formula>0.56251</formula>
      <formula>0.7125</formula>
    </cfRule>
    <cfRule type="cellIs" dxfId="11881" priority="17448" operator="between">
      <formula>0.3751</formula>
      <formula>0.5625</formula>
    </cfRule>
    <cfRule type="cellIs" dxfId="11880" priority="17449" operator="greaterThan">
      <formula>0.751</formula>
    </cfRule>
    <cfRule type="cellIs" dxfId="11879" priority="17450" operator="between">
      <formula>0.71251</formula>
      <formula>0.75</formula>
    </cfRule>
    <cfRule type="cellIs" dxfId="11878" priority="17451" stopIfTrue="1" operator="between">
      <formula>0</formula>
      <formula>0.375</formula>
    </cfRule>
  </conditionalFormatting>
  <conditionalFormatting sqref="AB212">
    <cfRule type="cellIs" dxfId="11877" priority="17442" operator="between">
      <formula>0.56251</formula>
      <formula>0.7125</formula>
    </cfRule>
    <cfRule type="cellIs" dxfId="11876" priority="17443" operator="between">
      <formula>0.3751</formula>
      <formula>0.5625</formula>
    </cfRule>
    <cfRule type="cellIs" dxfId="11875" priority="17444" operator="greaterThan">
      <formula>0.751</formula>
    </cfRule>
    <cfRule type="cellIs" dxfId="11874" priority="17445" operator="between">
      <formula>0.71251</formula>
      <formula>0.75</formula>
    </cfRule>
    <cfRule type="cellIs" dxfId="11873" priority="17446" stopIfTrue="1" operator="between">
      <formula>0</formula>
      <formula>0.375</formula>
    </cfRule>
  </conditionalFormatting>
  <conditionalFormatting sqref="S213">
    <cfRule type="cellIs" dxfId="11872" priority="17415" operator="between">
      <formula>0.76</formula>
      <formula>0.95</formula>
    </cfRule>
    <cfRule type="cellIs" dxfId="11871" priority="17416" operator="between">
      <formula>0.51</formula>
      <formula>0.75</formula>
    </cfRule>
    <cfRule type="cellIs" dxfId="11870" priority="17417" operator="greaterThan">
      <formula>1</formula>
    </cfRule>
    <cfRule type="cellIs" dxfId="11869" priority="17418" operator="between">
      <formula>0.95</formula>
      <formula>1</formula>
    </cfRule>
    <cfRule type="cellIs" dxfId="11868" priority="17419" stopIfTrue="1" operator="between">
      <formula>0</formula>
      <formula>0.5</formula>
    </cfRule>
  </conditionalFormatting>
  <conditionalFormatting sqref="R213">
    <cfRule type="cellIs" dxfId="11867" priority="17410" operator="between">
      <formula>0.76</formula>
      <formula>0.95</formula>
    </cfRule>
    <cfRule type="cellIs" dxfId="11866" priority="17411" operator="between">
      <formula>0.51</formula>
      <formula>0.75</formula>
    </cfRule>
    <cfRule type="cellIs" dxfId="11865" priority="17412" operator="greaterThan">
      <formula>1</formula>
    </cfRule>
    <cfRule type="cellIs" dxfId="11864" priority="17413" operator="between">
      <formula>0.95</formula>
      <formula>1</formula>
    </cfRule>
    <cfRule type="cellIs" dxfId="11863" priority="17414" stopIfTrue="1" operator="between">
      <formula>0</formula>
      <formula>0.5</formula>
    </cfRule>
  </conditionalFormatting>
  <conditionalFormatting sqref="Y213">
    <cfRule type="cellIs" dxfId="11862" priority="17405" operator="between">
      <formula>0.76</formula>
      <formula>0.95</formula>
    </cfRule>
    <cfRule type="cellIs" dxfId="11861" priority="17406" operator="between">
      <formula>0.51</formula>
      <formula>0.75</formula>
    </cfRule>
    <cfRule type="cellIs" dxfId="11860" priority="17407" operator="greaterThan">
      <formula>1</formula>
    </cfRule>
    <cfRule type="cellIs" dxfId="11859" priority="17408" operator="between">
      <formula>0.95</formula>
      <formula>1</formula>
    </cfRule>
    <cfRule type="cellIs" dxfId="11858" priority="17409" stopIfTrue="1" operator="between">
      <formula>0</formula>
      <formula>0.5</formula>
    </cfRule>
  </conditionalFormatting>
  <conditionalFormatting sqref="AF213">
    <cfRule type="cellIs" dxfId="11857" priority="17400" operator="between">
      <formula>0.76</formula>
      <formula>0.95</formula>
    </cfRule>
    <cfRule type="cellIs" dxfId="11856" priority="17401" operator="between">
      <formula>0.51</formula>
      <formula>0.75</formula>
    </cfRule>
    <cfRule type="cellIs" dxfId="11855" priority="17402" operator="greaterThan">
      <formula>1</formula>
    </cfRule>
    <cfRule type="cellIs" dxfId="11854" priority="17403" operator="between">
      <formula>0.95</formula>
      <formula>1</formula>
    </cfRule>
    <cfRule type="cellIs" dxfId="11853" priority="17404" stopIfTrue="1" operator="between">
      <formula>0</formula>
      <formula>0.5</formula>
    </cfRule>
  </conditionalFormatting>
  <conditionalFormatting sqref="AH213">
    <cfRule type="cellIs" dxfId="11852" priority="17395" operator="between">
      <formula>0.76</formula>
      <formula>0.95</formula>
    </cfRule>
    <cfRule type="cellIs" dxfId="11851" priority="17396" operator="between">
      <formula>0.51</formula>
      <formula>0.75</formula>
    </cfRule>
    <cfRule type="cellIs" dxfId="11850" priority="17397" operator="greaterThan">
      <formula>1</formula>
    </cfRule>
    <cfRule type="cellIs" dxfId="11849" priority="17398" operator="between">
      <formula>0.95</formula>
      <formula>1</formula>
    </cfRule>
    <cfRule type="cellIs" dxfId="11848" priority="17399" stopIfTrue="1" operator="between">
      <formula>0</formula>
      <formula>0.5</formula>
    </cfRule>
  </conditionalFormatting>
  <conditionalFormatting sqref="T213">
    <cfRule type="cellIs" dxfId="11847" priority="17380" operator="between">
      <formula>0.3751</formula>
      <formula>0.475</formula>
    </cfRule>
    <cfRule type="cellIs" dxfId="11846" priority="17381" operator="between">
      <formula>0.2551</formula>
      <formula>0.375</formula>
    </cfRule>
    <cfRule type="cellIs" dxfId="11845" priority="17382" operator="greaterThan">
      <formula>0.505</formula>
    </cfRule>
    <cfRule type="cellIs" dxfId="11844" priority="17383" operator="between">
      <formula>0.48</formula>
      <formula>0.5</formula>
    </cfRule>
    <cfRule type="cellIs" dxfId="11843" priority="17384" stopIfTrue="1" operator="between">
      <formula>0</formula>
      <formula>0.255</formula>
    </cfRule>
  </conditionalFormatting>
  <conditionalFormatting sqref="U213:V213">
    <cfRule type="cellIs" dxfId="11842" priority="17375" operator="between">
      <formula>0.376</formula>
      <formula>0.475</formula>
    </cfRule>
    <cfRule type="cellIs" dxfId="11841" priority="17376" operator="between">
      <formula>0.2551</formula>
      <formula>0.3751</formula>
    </cfRule>
    <cfRule type="cellIs" dxfId="11840" priority="17377" operator="greaterThan">
      <formula>0.505</formula>
    </cfRule>
    <cfRule type="cellIs" dxfId="11839" priority="17378" operator="between">
      <formula>0.48</formula>
      <formula>0.5</formula>
    </cfRule>
    <cfRule type="cellIs" dxfId="11838" priority="17379" stopIfTrue="1" operator="between">
      <formula>0</formula>
      <formula>0.255</formula>
    </cfRule>
  </conditionalFormatting>
  <conditionalFormatting sqref="Z213">
    <cfRule type="cellIs" dxfId="11837" priority="17370" operator="between">
      <formula>0.76</formula>
      <formula>0.95</formula>
    </cfRule>
    <cfRule type="cellIs" dxfId="11836" priority="17371" operator="between">
      <formula>0.51</formula>
      <formula>0.75</formula>
    </cfRule>
    <cfRule type="cellIs" dxfId="11835" priority="17372" operator="greaterThan">
      <formula>1</formula>
    </cfRule>
    <cfRule type="cellIs" dxfId="11834" priority="17373" operator="between">
      <formula>0.95</formula>
      <formula>1</formula>
    </cfRule>
    <cfRule type="cellIs" dxfId="11833" priority="17374" stopIfTrue="1" operator="between">
      <formula>0</formula>
      <formula>0.5</formula>
    </cfRule>
  </conditionalFormatting>
  <conditionalFormatting sqref="AG213">
    <cfRule type="cellIs" dxfId="11832" priority="17365" operator="between">
      <formula>0.76</formula>
      <formula>0.95</formula>
    </cfRule>
    <cfRule type="cellIs" dxfId="11831" priority="17366" operator="between">
      <formula>0.51</formula>
      <formula>0.75</formula>
    </cfRule>
    <cfRule type="cellIs" dxfId="11830" priority="17367" operator="greaterThan">
      <formula>1</formula>
    </cfRule>
    <cfRule type="cellIs" dxfId="11829" priority="17368" operator="between">
      <formula>0.95</formula>
      <formula>1</formula>
    </cfRule>
    <cfRule type="cellIs" dxfId="11828" priority="17369" stopIfTrue="1" operator="between">
      <formula>0</formula>
      <formula>0.5</formula>
    </cfRule>
  </conditionalFormatting>
  <conditionalFormatting sqref="AI213">
    <cfRule type="cellIs" dxfId="11827" priority="17360" operator="between">
      <formula>0.76</formula>
      <formula>0.95</formula>
    </cfRule>
    <cfRule type="cellIs" dxfId="11826" priority="17361" operator="between">
      <formula>0.51</formula>
      <formula>0.75</formula>
    </cfRule>
    <cfRule type="cellIs" dxfId="11825" priority="17362" operator="greaterThan">
      <formula>1</formula>
    </cfRule>
    <cfRule type="cellIs" dxfId="11824" priority="17363" operator="between">
      <formula>0.95</formula>
      <formula>1</formula>
    </cfRule>
    <cfRule type="cellIs" dxfId="11823" priority="17364" stopIfTrue="1" operator="between">
      <formula>0</formula>
      <formula>0.5</formula>
    </cfRule>
  </conditionalFormatting>
  <conditionalFormatting sqref="AA213">
    <cfRule type="cellIs" dxfId="11822" priority="17355" operator="between">
      <formula>0.56251</formula>
      <formula>0.7125</formula>
    </cfRule>
    <cfRule type="cellIs" dxfId="11821" priority="17356" operator="between">
      <formula>0.3751</formula>
      <formula>0.5625</formula>
    </cfRule>
    <cfRule type="cellIs" dxfId="11820" priority="17357" operator="greaterThan">
      <formula>0.751</formula>
    </cfRule>
    <cfRule type="cellIs" dxfId="11819" priority="17358" operator="between">
      <formula>0.71251</formula>
      <formula>0.75</formula>
    </cfRule>
    <cfRule type="cellIs" dxfId="11818" priority="17359" stopIfTrue="1" operator="between">
      <formula>0</formula>
      <formula>0.375</formula>
    </cfRule>
  </conditionalFormatting>
  <conditionalFormatting sqref="AC213">
    <cfRule type="cellIs" dxfId="11817" priority="17350" operator="between">
      <formula>0.56251</formula>
      <formula>0.7125</formula>
    </cfRule>
    <cfRule type="cellIs" dxfId="11816" priority="17351" operator="between">
      <formula>0.3751</formula>
      <formula>0.5625</formula>
    </cfRule>
    <cfRule type="cellIs" dxfId="11815" priority="17352" operator="greaterThan">
      <formula>0.751</formula>
    </cfRule>
    <cfRule type="cellIs" dxfId="11814" priority="17353" operator="between">
      <formula>0.71251</formula>
      <formula>0.75</formula>
    </cfRule>
    <cfRule type="cellIs" dxfId="11813" priority="17354" stopIfTrue="1" operator="between">
      <formula>0</formula>
      <formula>0.375</formula>
    </cfRule>
  </conditionalFormatting>
  <conditionalFormatting sqref="AB213">
    <cfRule type="cellIs" dxfId="11812" priority="17345" operator="between">
      <formula>0.56251</formula>
      <formula>0.7125</formula>
    </cfRule>
    <cfRule type="cellIs" dxfId="11811" priority="17346" operator="between">
      <formula>0.3751</formula>
      <formula>0.5625</formula>
    </cfRule>
    <cfRule type="cellIs" dxfId="11810" priority="17347" operator="greaterThan">
      <formula>0.751</formula>
    </cfRule>
    <cfRule type="cellIs" dxfId="11809" priority="17348" operator="between">
      <formula>0.71251</formula>
      <formula>0.75</formula>
    </cfRule>
    <cfRule type="cellIs" dxfId="11808" priority="17349" stopIfTrue="1" operator="between">
      <formula>0</formula>
      <formula>0.375</formula>
    </cfRule>
  </conditionalFormatting>
  <conditionalFormatting sqref="S214">
    <cfRule type="cellIs" dxfId="11807" priority="17318" operator="between">
      <formula>0.76</formula>
      <formula>0.95</formula>
    </cfRule>
    <cfRule type="cellIs" dxfId="11806" priority="17319" operator="between">
      <formula>0.51</formula>
      <formula>0.75</formula>
    </cfRule>
    <cfRule type="cellIs" dxfId="11805" priority="17320" operator="greaterThan">
      <formula>1</formula>
    </cfRule>
    <cfRule type="cellIs" dxfId="11804" priority="17321" operator="between">
      <formula>0.95</formula>
      <formula>1</formula>
    </cfRule>
    <cfRule type="cellIs" dxfId="11803" priority="17322" stopIfTrue="1" operator="between">
      <formula>0</formula>
      <formula>0.5</formula>
    </cfRule>
  </conditionalFormatting>
  <conditionalFormatting sqref="R214">
    <cfRule type="cellIs" dxfId="11802" priority="17313" operator="between">
      <formula>0.76</formula>
      <formula>0.95</formula>
    </cfRule>
    <cfRule type="cellIs" dxfId="11801" priority="17314" operator="between">
      <formula>0.51</formula>
      <formula>0.75</formula>
    </cfRule>
    <cfRule type="cellIs" dxfId="11800" priority="17315" operator="greaterThan">
      <formula>1</formula>
    </cfRule>
    <cfRule type="cellIs" dxfId="11799" priority="17316" operator="between">
      <formula>0.95</formula>
      <formula>1</formula>
    </cfRule>
    <cfRule type="cellIs" dxfId="11798" priority="17317" stopIfTrue="1" operator="between">
      <formula>0</formula>
      <formula>0.5</formula>
    </cfRule>
  </conditionalFormatting>
  <conditionalFormatting sqref="Y214">
    <cfRule type="cellIs" dxfId="11797" priority="17308" operator="between">
      <formula>0.76</formula>
      <formula>0.95</formula>
    </cfRule>
    <cfRule type="cellIs" dxfId="11796" priority="17309" operator="between">
      <formula>0.51</formula>
      <formula>0.75</formula>
    </cfRule>
    <cfRule type="cellIs" dxfId="11795" priority="17310" operator="greaterThan">
      <formula>1</formula>
    </cfRule>
    <cfRule type="cellIs" dxfId="11794" priority="17311" operator="between">
      <formula>0.95</formula>
      <formula>1</formula>
    </cfRule>
    <cfRule type="cellIs" dxfId="11793" priority="17312" stopIfTrue="1" operator="between">
      <formula>0</formula>
      <formula>0.5</formula>
    </cfRule>
  </conditionalFormatting>
  <conditionalFormatting sqref="AF214">
    <cfRule type="cellIs" dxfId="11792" priority="17303" operator="between">
      <formula>0.76</formula>
      <formula>0.95</formula>
    </cfRule>
    <cfRule type="cellIs" dxfId="11791" priority="17304" operator="between">
      <formula>0.51</formula>
      <formula>0.75</formula>
    </cfRule>
    <cfRule type="cellIs" dxfId="11790" priority="17305" operator="greaterThan">
      <formula>1</formula>
    </cfRule>
    <cfRule type="cellIs" dxfId="11789" priority="17306" operator="between">
      <formula>0.95</formula>
      <formula>1</formula>
    </cfRule>
    <cfRule type="cellIs" dxfId="11788" priority="17307" stopIfTrue="1" operator="between">
      <formula>0</formula>
      <formula>0.5</formula>
    </cfRule>
  </conditionalFormatting>
  <conditionalFormatting sqref="AH214">
    <cfRule type="cellIs" dxfId="11787" priority="17298" operator="between">
      <formula>0.76</formula>
      <formula>0.95</formula>
    </cfRule>
    <cfRule type="cellIs" dxfId="11786" priority="17299" operator="between">
      <formula>0.51</formula>
      <formula>0.75</formula>
    </cfRule>
    <cfRule type="cellIs" dxfId="11785" priority="17300" operator="greaterThan">
      <formula>1</formula>
    </cfRule>
    <cfRule type="cellIs" dxfId="11784" priority="17301" operator="between">
      <formula>0.95</formula>
      <formula>1</formula>
    </cfRule>
    <cfRule type="cellIs" dxfId="11783" priority="17302" stopIfTrue="1" operator="between">
      <formula>0</formula>
      <formula>0.5</formula>
    </cfRule>
  </conditionalFormatting>
  <conditionalFormatting sqref="T214">
    <cfRule type="cellIs" dxfId="11782" priority="17283" operator="between">
      <formula>0.3751</formula>
      <formula>0.475</formula>
    </cfRule>
    <cfRule type="cellIs" dxfId="11781" priority="17284" operator="between">
      <formula>0.2551</formula>
      <formula>0.375</formula>
    </cfRule>
    <cfRule type="cellIs" dxfId="11780" priority="17285" operator="greaterThan">
      <formula>0.505</formula>
    </cfRule>
    <cfRule type="cellIs" dxfId="11779" priority="17286" operator="between">
      <formula>0.48</formula>
      <formula>0.5</formula>
    </cfRule>
    <cfRule type="cellIs" dxfId="11778" priority="17287" stopIfTrue="1" operator="between">
      <formula>0</formula>
      <formula>0.255</formula>
    </cfRule>
  </conditionalFormatting>
  <conditionalFormatting sqref="U214:V214">
    <cfRule type="cellIs" dxfId="11777" priority="17278" operator="between">
      <formula>0.376</formula>
      <formula>0.475</formula>
    </cfRule>
    <cfRule type="cellIs" dxfId="11776" priority="17279" operator="between">
      <formula>0.2551</formula>
      <formula>0.3751</formula>
    </cfRule>
    <cfRule type="cellIs" dxfId="11775" priority="17280" operator="greaterThan">
      <formula>0.505</formula>
    </cfRule>
    <cfRule type="cellIs" dxfId="11774" priority="17281" operator="between">
      <formula>0.48</formula>
      <formula>0.5</formula>
    </cfRule>
    <cfRule type="cellIs" dxfId="11773" priority="17282" stopIfTrue="1" operator="between">
      <formula>0</formula>
      <formula>0.255</formula>
    </cfRule>
  </conditionalFormatting>
  <conditionalFormatting sqref="Z214">
    <cfRule type="cellIs" dxfId="11772" priority="17273" operator="between">
      <formula>0.76</formula>
      <formula>0.95</formula>
    </cfRule>
    <cfRule type="cellIs" dxfId="11771" priority="17274" operator="between">
      <formula>0.51</formula>
      <formula>0.75</formula>
    </cfRule>
    <cfRule type="cellIs" dxfId="11770" priority="17275" operator="greaterThan">
      <formula>1</formula>
    </cfRule>
    <cfRule type="cellIs" dxfId="11769" priority="17276" operator="between">
      <formula>0.95</formula>
      <formula>1</formula>
    </cfRule>
    <cfRule type="cellIs" dxfId="11768" priority="17277" stopIfTrue="1" operator="between">
      <formula>0</formula>
      <formula>0.5</formula>
    </cfRule>
  </conditionalFormatting>
  <conditionalFormatting sqref="AG214">
    <cfRule type="cellIs" dxfId="11767" priority="17268" operator="between">
      <formula>0.76</formula>
      <formula>0.95</formula>
    </cfRule>
    <cfRule type="cellIs" dxfId="11766" priority="17269" operator="between">
      <formula>0.51</formula>
      <formula>0.75</formula>
    </cfRule>
    <cfRule type="cellIs" dxfId="11765" priority="17270" operator="greaterThan">
      <formula>1</formula>
    </cfRule>
    <cfRule type="cellIs" dxfId="11764" priority="17271" operator="between">
      <formula>0.95</formula>
      <formula>1</formula>
    </cfRule>
    <cfRule type="cellIs" dxfId="11763" priority="17272" stopIfTrue="1" operator="between">
      <formula>0</formula>
      <formula>0.5</formula>
    </cfRule>
  </conditionalFormatting>
  <conditionalFormatting sqref="AI214">
    <cfRule type="cellIs" dxfId="11762" priority="17263" operator="between">
      <formula>0.76</formula>
      <formula>0.95</formula>
    </cfRule>
    <cfRule type="cellIs" dxfId="11761" priority="17264" operator="between">
      <formula>0.51</formula>
      <formula>0.75</formula>
    </cfRule>
    <cfRule type="cellIs" dxfId="11760" priority="17265" operator="greaterThan">
      <formula>1</formula>
    </cfRule>
    <cfRule type="cellIs" dxfId="11759" priority="17266" operator="between">
      <formula>0.95</formula>
      <formula>1</formula>
    </cfRule>
    <cfRule type="cellIs" dxfId="11758" priority="17267" stopIfTrue="1" operator="between">
      <formula>0</formula>
      <formula>0.5</formula>
    </cfRule>
  </conditionalFormatting>
  <conditionalFormatting sqref="AA214">
    <cfRule type="cellIs" dxfId="11757" priority="17258" operator="between">
      <formula>0.56251</formula>
      <formula>0.7125</formula>
    </cfRule>
    <cfRule type="cellIs" dxfId="11756" priority="17259" operator="between">
      <formula>0.3751</formula>
      <formula>0.5625</formula>
    </cfRule>
    <cfRule type="cellIs" dxfId="11755" priority="17260" operator="greaterThan">
      <formula>0.751</formula>
    </cfRule>
    <cfRule type="cellIs" dxfId="11754" priority="17261" operator="between">
      <formula>0.71251</formula>
      <formula>0.75</formula>
    </cfRule>
    <cfRule type="cellIs" dxfId="11753" priority="17262" stopIfTrue="1" operator="between">
      <formula>0</formula>
      <formula>0.375</formula>
    </cfRule>
  </conditionalFormatting>
  <conditionalFormatting sqref="AC214">
    <cfRule type="cellIs" dxfId="11752" priority="17253" operator="between">
      <formula>0.56251</formula>
      <formula>0.7125</formula>
    </cfRule>
    <cfRule type="cellIs" dxfId="11751" priority="17254" operator="between">
      <formula>0.3751</formula>
      <formula>0.5625</formula>
    </cfRule>
    <cfRule type="cellIs" dxfId="11750" priority="17255" operator="greaterThan">
      <formula>0.751</formula>
    </cfRule>
    <cfRule type="cellIs" dxfId="11749" priority="17256" operator="between">
      <formula>0.71251</formula>
      <formula>0.75</formula>
    </cfRule>
    <cfRule type="cellIs" dxfId="11748" priority="17257" stopIfTrue="1" operator="between">
      <formula>0</formula>
      <formula>0.375</formula>
    </cfRule>
  </conditionalFormatting>
  <conditionalFormatting sqref="AB214">
    <cfRule type="cellIs" dxfId="11747" priority="17248" operator="between">
      <formula>0.56251</formula>
      <formula>0.7125</formula>
    </cfRule>
    <cfRule type="cellIs" dxfId="11746" priority="17249" operator="between">
      <formula>0.3751</formula>
      <formula>0.5625</formula>
    </cfRule>
    <cfRule type="cellIs" dxfId="11745" priority="17250" operator="greaterThan">
      <formula>0.751</formula>
    </cfRule>
    <cfRule type="cellIs" dxfId="11744" priority="17251" operator="between">
      <formula>0.71251</formula>
      <formula>0.75</formula>
    </cfRule>
    <cfRule type="cellIs" dxfId="11743" priority="17252" stopIfTrue="1" operator="between">
      <formula>0</formula>
      <formula>0.375</formula>
    </cfRule>
  </conditionalFormatting>
  <conditionalFormatting sqref="AG158 AI158 S158 Z158">
    <cfRule type="cellIs" dxfId="11742" priority="17221" operator="between">
      <formula>0.76</formula>
      <formula>0.95</formula>
    </cfRule>
    <cfRule type="cellIs" dxfId="11741" priority="17222" operator="between">
      <formula>0.51</formula>
      <formula>0.75</formula>
    </cfRule>
    <cfRule type="cellIs" dxfId="11740" priority="17223" operator="greaterThan">
      <formula>1</formula>
    </cfRule>
    <cfRule type="cellIs" dxfId="11739" priority="17224" operator="between">
      <formula>0.95</formula>
      <formula>1</formula>
    </cfRule>
    <cfRule type="cellIs" dxfId="11738" priority="17225" stopIfTrue="1" operator="between">
      <formula>0</formula>
      <formula>0.5</formula>
    </cfRule>
  </conditionalFormatting>
  <conditionalFormatting sqref="R158">
    <cfRule type="cellIs" dxfId="11737" priority="17211" operator="between">
      <formula>0.76</formula>
      <formula>0.95</formula>
    </cfRule>
    <cfRule type="cellIs" dxfId="11736" priority="17212" operator="between">
      <formula>0.51</formula>
      <formula>0.75</formula>
    </cfRule>
    <cfRule type="cellIs" dxfId="11735" priority="17213" operator="greaterThan">
      <formula>1</formula>
    </cfRule>
    <cfRule type="cellIs" dxfId="11734" priority="17214" operator="between">
      <formula>0.95</formula>
      <formula>1</formula>
    </cfRule>
    <cfRule type="cellIs" dxfId="11733" priority="17215" stopIfTrue="1" operator="between">
      <formula>0</formula>
      <formula>0.5</formula>
    </cfRule>
  </conditionalFormatting>
  <conditionalFormatting sqref="Y158">
    <cfRule type="cellIs" dxfId="11732" priority="17206" operator="between">
      <formula>0.76</formula>
      <formula>0.95</formula>
    </cfRule>
    <cfRule type="cellIs" dxfId="11731" priority="17207" operator="between">
      <formula>0.51</formula>
      <formula>0.75</formula>
    </cfRule>
    <cfRule type="cellIs" dxfId="11730" priority="17208" operator="greaterThan">
      <formula>1</formula>
    </cfRule>
    <cfRule type="cellIs" dxfId="11729" priority="17209" operator="between">
      <formula>0.95</formula>
      <formula>1</formula>
    </cfRule>
    <cfRule type="cellIs" dxfId="11728" priority="17210" stopIfTrue="1" operator="between">
      <formula>0</formula>
      <formula>0.5</formula>
    </cfRule>
  </conditionalFormatting>
  <conditionalFormatting sqref="AF158">
    <cfRule type="cellIs" dxfId="11727" priority="17201" operator="between">
      <formula>0.76</formula>
      <formula>0.95</formula>
    </cfRule>
    <cfRule type="cellIs" dxfId="11726" priority="17202" operator="between">
      <formula>0.51</formula>
      <formula>0.75</formula>
    </cfRule>
    <cfRule type="cellIs" dxfId="11725" priority="17203" operator="greaterThan">
      <formula>1</formula>
    </cfRule>
    <cfRule type="cellIs" dxfId="11724" priority="17204" operator="between">
      <formula>0.95</formula>
      <formula>1</formula>
    </cfRule>
    <cfRule type="cellIs" dxfId="11723" priority="17205" stopIfTrue="1" operator="between">
      <formula>0</formula>
      <formula>0.5</formula>
    </cfRule>
  </conditionalFormatting>
  <conditionalFormatting sqref="AH158">
    <cfRule type="cellIs" dxfId="11722" priority="17196" operator="between">
      <formula>0.76</formula>
      <formula>0.95</formula>
    </cfRule>
    <cfRule type="cellIs" dxfId="11721" priority="17197" operator="between">
      <formula>0.51</formula>
      <formula>0.75</formula>
    </cfRule>
    <cfRule type="cellIs" dxfId="11720" priority="17198" operator="greaterThan">
      <formula>1</formula>
    </cfRule>
    <cfRule type="cellIs" dxfId="11719" priority="17199" operator="between">
      <formula>0.95</formula>
      <formula>1</formula>
    </cfRule>
    <cfRule type="cellIs" dxfId="11718" priority="17200" stopIfTrue="1" operator="between">
      <formula>0</formula>
      <formula>0.5</formula>
    </cfRule>
  </conditionalFormatting>
  <conditionalFormatting sqref="T158">
    <cfRule type="cellIs" dxfId="11717" priority="17181" operator="between">
      <formula>0.3751</formula>
      <formula>0.475</formula>
    </cfRule>
    <cfRule type="cellIs" dxfId="11716" priority="17182" operator="between">
      <formula>0.2551</formula>
      <formula>0.375</formula>
    </cfRule>
    <cfRule type="cellIs" dxfId="11715" priority="17183" operator="greaterThan">
      <formula>0.505</formula>
    </cfRule>
    <cfRule type="cellIs" dxfId="11714" priority="17184" operator="between">
      <formula>0.48</formula>
      <formula>0.5</formula>
    </cfRule>
    <cfRule type="cellIs" dxfId="11713" priority="17185" stopIfTrue="1" operator="between">
      <formula>0</formula>
      <formula>0.255</formula>
    </cfRule>
  </conditionalFormatting>
  <conditionalFormatting sqref="U158:V158">
    <cfRule type="cellIs" dxfId="11712" priority="17176" operator="between">
      <formula>0.376</formula>
      <formula>0.475</formula>
    </cfRule>
    <cfRule type="cellIs" dxfId="11711" priority="17177" operator="between">
      <formula>0.2551</formula>
      <formula>0.3751</formula>
    </cfRule>
    <cfRule type="cellIs" dxfId="11710" priority="17178" operator="greaterThan">
      <formula>0.505</formula>
    </cfRule>
    <cfRule type="cellIs" dxfId="11709" priority="17179" operator="between">
      <formula>0.48</formula>
      <formula>0.5</formula>
    </cfRule>
    <cfRule type="cellIs" dxfId="11708" priority="17180" stopIfTrue="1" operator="between">
      <formula>0</formula>
      <formula>0.255</formula>
    </cfRule>
  </conditionalFormatting>
  <conditionalFormatting sqref="AA158">
    <cfRule type="cellIs" dxfId="11707" priority="17171" operator="between">
      <formula>0.56251</formula>
      <formula>0.7125</formula>
    </cfRule>
    <cfRule type="cellIs" dxfId="11706" priority="17172" operator="between">
      <formula>0.3751</formula>
      <formula>0.5625</formula>
    </cfRule>
    <cfRule type="cellIs" dxfId="11705" priority="17173" operator="greaterThan">
      <formula>0.751</formula>
    </cfRule>
    <cfRule type="cellIs" dxfId="11704" priority="17174" operator="between">
      <formula>0.71251</formula>
      <formula>0.75</formula>
    </cfRule>
    <cfRule type="cellIs" dxfId="11703" priority="17175" stopIfTrue="1" operator="between">
      <formula>0</formula>
      <formula>0.375</formula>
    </cfRule>
  </conditionalFormatting>
  <conditionalFormatting sqref="AC158">
    <cfRule type="cellIs" dxfId="11702" priority="17166" operator="between">
      <formula>0.56251</formula>
      <formula>0.7125</formula>
    </cfRule>
    <cfRule type="cellIs" dxfId="11701" priority="17167" operator="between">
      <formula>0.3751</formula>
      <formula>0.5625</formula>
    </cfRule>
    <cfRule type="cellIs" dxfId="11700" priority="17168" operator="greaterThan">
      <formula>0.751</formula>
    </cfRule>
    <cfRule type="cellIs" dxfId="11699" priority="17169" operator="between">
      <formula>0.71251</formula>
      <formula>0.75</formula>
    </cfRule>
    <cfRule type="cellIs" dxfId="11698" priority="17170" stopIfTrue="1" operator="between">
      <formula>0</formula>
      <formula>0.375</formula>
    </cfRule>
  </conditionalFormatting>
  <conditionalFormatting sqref="AB158">
    <cfRule type="cellIs" dxfId="11697" priority="17161" operator="between">
      <formula>0.56251</formula>
      <formula>0.7125</formula>
    </cfRule>
    <cfRule type="cellIs" dxfId="11696" priority="17162" operator="between">
      <formula>0.3751</formula>
      <formula>0.5625</formula>
    </cfRule>
    <cfRule type="cellIs" dxfId="11695" priority="17163" operator="greaterThan">
      <formula>0.751</formula>
    </cfRule>
    <cfRule type="cellIs" dxfId="11694" priority="17164" operator="between">
      <formula>0.71251</formula>
      <formula>0.75</formula>
    </cfRule>
    <cfRule type="cellIs" dxfId="11693" priority="17165" stopIfTrue="1" operator="between">
      <formula>0</formula>
      <formula>0.375</formula>
    </cfRule>
  </conditionalFormatting>
  <conditionalFormatting sqref="AG309 AI309 S309 Z309">
    <cfRule type="cellIs" dxfId="11692" priority="17139" operator="between">
      <formula>0.76</formula>
      <formula>0.95</formula>
    </cfRule>
    <cfRule type="cellIs" dxfId="11691" priority="17140" operator="between">
      <formula>0.51</formula>
      <formula>0.75</formula>
    </cfRule>
    <cfRule type="cellIs" dxfId="11690" priority="17141" operator="greaterThan">
      <formula>1</formula>
    </cfRule>
    <cfRule type="cellIs" dxfId="11689" priority="17142" operator="between">
      <formula>0.95</formula>
      <formula>1</formula>
    </cfRule>
    <cfRule type="cellIs" dxfId="11688" priority="17143" stopIfTrue="1" operator="between">
      <formula>0</formula>
      <formula>0.5</formula>
    </cfRule>
  </conditionalFormatting>
  <conditionalFormatting sqref="R309">
    <cfRule type="cellIs" dxfId="11687" priority="17129" operator="between">
      <formula>0.76</formula>
      <formula>0.95</formula>
    </cfRule>
    <cfRule type="cellIs" dxfId="11686" priority="17130" operator="between">
      <formula>0.51</formula>
      <formula>0.75</formula>
    </cfRule>
    <cfRule type="cellIs" dxfId="11685" priority="17131" operator="greaterThan">
      <formula>1</formula>
    </cfRule>
    <cfRule type="cellIs" dxfId="11684" priority="17132" operator="between">
      <formula>0.95</formula>
      <formula>1</formula>
    </cfRule>
    <cfRule type="cellIs" dxfId="11683" priority="17133" stopIfTrue="1" operator="between">
      <formula>0</formula>
      <formula>0.5</formula>
    </cfRule>
  </conditionalFormatting>
  <conditionalFormatting sqref="Y309">
    <cfRule type="cellIs" dxfId="11682" priority="17124" operator="between">
      <formula>0.76</formula>
      <formula>0.95</formula>
    </cfRule>
    <cfRule type="cellIs" dxfId="11681" priority="17125" operator="between">
      <formula>0.51</formula>
      <formula>0.75</formula>
    </cfRule>
    <cfRule type="cellIs" dxfId="11680" priority="17126" operator="greaterThan">
      <formula>1</formula>
    </cfRule>
    <cfRule type="cellIs" dxfId="11679" priority="17127" operator="between">
      <formula>0.95</formula>
      <formula>1</formula>
    </cfRule>
    <cfRule type="cellIs" dxfId="11678" priority="17128" stopIfTrue="1" operator="between">
      <formula>0</formula>
      <formula>0.5</formula>
    </cfRule>
  </conditionalFormatting>
  <conditionalFormatting sqref="AF309">
    <cfRule type="cellIs" dxfId="11677" priority="17119" operator="between">
      <formula>0.76</formula>
      <formula>0.95</formula>
    </cfRule>
    <cfRule type="cellIs" dxfId="11676" priority="17120" operator="between">
      <formula>0.51</formula>
      <formula>0.75</formula>
    </cfRule>
    <cfRule type="cellIs" dxfId="11675" priority="17121" operator="greaterThan">
      <formula>1</formula>
    </cfRule>
    <cfRule type="cellIs" dxfId="11674" priority="17122" operator="between">
      <formula>0.95</formula>
      <formula>1</formula>
    </cfRule>
    <cfRule type="cellIs" dxfId="11673" priority="17123" stopIfTrue="1" operator="between">
      <formula>0</formula>
      <formula>0.5</formula>
    </cfRule>
  </conditionalFormatting>
  <conditionalFormatting sqref="AH309">
    <cfRule type="cellIs" dxfId="11672" priority="17114" operator="between">
      <formula>0.76</formula>
      <formula>0.95</formula>
    </cfRule>
    <cfRule type="cellIs" dxfId="11671" priority="17115" operator="between">
      <formula>0.51</formula>
      <formula>0.75</formula>
    </cfRule>
    <cfRule type="cellIs" dxfId="11670" priority="17116" operator="greaterThan">
      <formula>1</formula>
    </cfRule>
    <cfRule type="cellIs" dxfId="11669" priority="17117" operator="between">
      <formula>0.95</formula>
      <formula>1</formula>
    </cfRule>
    <cfRule type="cellIs" dxfId="11668" priority="17118" stopIfTrue="1" operator="between">
      <formula>0</formula>
      <formula>0.5</formula>
    </cfRule>
  </conditionalFormatting>
  <conditionalFormatting sqref="T309">
    <cfRule type="cellIs" dxfId="11667" priority="17099" operator="between">
      <formula>0.3751</formula>
      <formula>0.475</formula>
    </cfRule>
    <cfRule type="cellIs" dxfId="11666" priority="17100" operator="between">
      <formula>0.2551</formula>
      <formula>0.375</formula>
    </cfRule>
    <cfRule type="cellIs" dxfId="11665" priority="17101" operator="greaterThan">
      <formula>0.505</formula>
    </cfRule>
    <cfRule type="cellIs" dxfId="11664" priority="17102" operator="between">
      <formula>0.48</formula>
      <formula>0.5</formula>
    </cfRule>
    <cfRule type="cellIs" dxfId="11663" priority="17103" stopIfTrue="1" operator="between">
      <formula>0</formula>
      <formula>0.255</formula>
    </cfRule>
  </conditionalFormatting>
  <conditionalFormatting sqref="U309:V309">
    <cfRule type="cellIs" dxfId="11662" priority="17094" operator="between">
      <formula>0.376</formula>
      <formula>0.475</formula>
    </cfRule>
    <cfRule type="cellIs" dxfId="11661" priority="17095" operator="between">
      <formula>0.2551</formula>
      <formula>0.3751</formula>
    </cfRule>
    <cfRule type="cellIs" dxfId="11660" priority="17096" operator="greaterThan">
      <formula>0.505</formula>
    </cfRule>
    <cfRule type="cellIs" dxfId="11659" priority="17097" operator="between">
      <formula>0.48</formula>
      <formula>0.5</formula>
    </cfRule>
    <cfRule type="cellIs" dxfId="11658" priority="17098" stopIfTrue="1" operator="between">
      <formula>0</formula>
      <formula>0.255</formula>
    </cfRule>
  </conditionalFormatting>
  <conditionalFormatting sqref="AA309">
    <cfRule type="cellIs" dxfId="11657" priority="17089" operator="between">
      <formula>0.56251</formula>
      <formula>0.7125</formula>
    </cfRule>
    <cfRule type="cellIs" dxfId="11656" priority="17090" operator="between">
      <formula>0.3751</formula>
      <formula>0.5625</formula>
    </cfRule>
    <cfRule type="cellIs" dxfId="11655" priority="17091" operator="greaterThan">
      <formula>0.751</formula>
    </cfRule>
    <cfRule type="cellIs" dxfId="11654" priority="17092" operator="between">
      <formula>0.71251</formula>
      <formula>0.75</formula>
    </cfRule>
    <cfRule type="cellIs" dxfId="11653" priority="17093" stopIfTrue="1" operator="between">
      <formula>0</formula>
      <formula>0.375</formula>
    </cfRule>
  </conditionalFormatting>
  <conditionalFormatting sqref="AC309">
    <cfRule type="cellIs" dxfId="11652" priority="17084" operator="between">
      <formula>0.56251</formula>
      <formula>0.7125</formula>
    </cfRule>
    <cfRule type="cellIs" dxfId="11651" priority="17085" operator="between">
      <formula>0.3751</formula>
      <formula>0.5625</formula>
    </cfRule>
    <cfRule type="cellIs" dxfId="11650" priority="17086" operator="greaterThan">
      <formula>0.751</formula>
    </cfRule>
    <cfRule type="cellIs" dxfId="11649" priority="17087" operator="between">
      <formula>0.71251</formula>
      <formula>0.75</formula>
    </cfRule>
    <cfRule type="cellIs" dxfId="11648" priority="17088" stopIfTrue="1" operator="between">
      <formula>0</formula>
      <formula>0.375</formula>
    </cfRule>
  </conditionalFormatting>
  <conditionalFormatting sqref="AB309">
    <cfRule type="cellIs" dxfId="11647" priority="17079" operator="between">
      <formula>0.56251</formula>
      <formula>0.7125</formula>
    </cfRule>
    <cfRule type="cellIs" dxfId="11646" priority="17080" operator="between">
      <formula>0.3751</formula>
      <formula>0.5625</formula>
    </cfRule>
    <cfRule type="cellIs" dxfId="11645" priority="17081" operator="greaterThan">
      <formula>0.751</formula>
    </cfRule>
    <cfRule type="cellIs" dxfId="11644" priority="17082" operator="between">
      <formula>0.71251</formula>
      <formula>0.75</formula>
    </cfRule>
    <cfRule type="cellIs" dxfId="11643" priority="17083" stopIfTrue="1" operator="between">
      <formula>0</formula>
      <formula>0.375</formula>
    </cfRule>
  </conditionalFormatting>
  <conditionalFormatting sqref="R215">
    <cfRule type="cellIs" dxfId="11642" priority="17047" operator="between">
      <formula>0.76</formula>
      <formula>0.95</formula>
    </cfRule>
    <cfRule type="cellIs" dxfId="11641" priority="17048" operator="between">
      <formula>0.51</formula>
      <formula>0.75</formula>
    </cfRule>
    <cfRule type="cellIs" dxfId="11640" priority="17049" operator="greaterThan">
      <formula>1</formula>
    </cfRule>
    <cfRule type="cellIs" dxfId="11639" priority="17050" operator="between">
      <formula>0.95</formula>
      <formula>1</formula>
    </cfRule>
    <cfRule type="cellIs" dxfId="11638" priority="17051" stopIfTrue="1" operator="between">
      <formula>0</formula>
      <formula>0.5</formula>
    </cfRule>
  </conditionalFormatting>
  <conditionalFormatting sqref="Y215">
    <cfRule type="cellIs" dxfId="11637" priority="17042" operator="between">
      <formula>0.76</formula>
      <formula>0.95</formula>
    </cfRule>
    <cfRule type="cellIs" dxfId="11636" priority="17043" operator="between">
      <formula>0.51</formula>
      <formula>0.75</formula>
    </cfRule>
    <cfRule type="cellIs" dxfId="11635" priority="17044" operator="greaterThan">
      <formula>1</formula>
    </cfRule>
    <cfRule type="cellIs" dxfId="11634" priority="17045" operator="between">
      <formula>0.95</formula>
      <formula>1</formula>
    </cfRule>
    <cfRule type="cellIs" dxfId="11633" priority="17046" stopIfTrue="1" operator="between">
      <formula>0</formula>
      <formula>0.5</formula>
    </cfRule>
  </conditionalFormatting>
  <conditionalFormatting sqref="AF215">
    <cfRule type="cellIs" dxfId="11632" priority="17037" operator="between">
      <formula>0.76</formula>
      <formula>0.95</formula>
    </cfRule>
    <cfRule type="cellIs" dxfId="11631" priority="17038" operator="between">
      <formula>0.51</formula>
      <formula>0.75</formula>
    </cfRule>
    <cfRule type="cellIs" dxfId="11630" priority="17039" operator="greaterThan">
      <formula>1</formula>
    </cfRule>
    <cfRule type="cellIs" dxfId="11629" priority="17040" operator="between">
      <formula>0.95</formula>
      <formula>1</formula>
    </cfRule>
    <cfRule type="cellIs" dxfId="11628" priority="17041" stopIfTrue="1" operator="between">
      <formula>0</formula>
      <formula>0.5</formula>
    </cfRule>
  </conditionalFormatting>
  <conditionalFormatting sqref="AH215">
    <cfRule type="cellIs" dxfId="11627" priority="17032" operator="between">
      <formula>0.76</formula>
      <formula>0.95</formula>
    </cfRule>
    <cfRule type="cellIs" dxfId="11626" priority="17033" operator="between">
      <formula>0.51</formula>
      <formula>0.75</formula>
    </cfRule>
    <cfRule type="cellIs" dxfId="11625" priority="17034" operator="greaterThan">
      <formula>1</formula>
    </cfRule>
    <cfRule type="cellIs" dxfId="11624" priority="17035" operator="between">
      <formula>0.95</formula>
      <formula>1</formula>
    </cfRule>
    <cfRule type="cellIs" dxfId="11623" priority="17036" stopIfTrue="1" operator="between">
      <formula>0</formula>
      <formula>0.5</formula>
    </cfRule>
  </conditionalFormatting>
  <conditionalFormatting sqref="T215">
    <cfRule type="cellIs" dxfId="11622" priority="17017" operator="between">
      <formula>0.3751</formula>
      <formula>0.475</formula>
    </cfRule>
    <cfRule type="cellIs" dxfId="11621" priority="17018" operator="between">
      <formula>0.2551</formula>
      <formula>0.375</formula>
    </cfRule>
    <cfRule type="cellIs" dxfId="11620" priority="17019" operator="greaterThan">
      <formula>0.505</formula>
    </cfRule>
    <cfRule type="cellIs" dxfId="11619" priority="17020" operator="between">
      <formula>0.48</formula>
      <formula>0.5</formula>
    </cfRule>
    <cfRule type="cellIs" dxfId="11618" priority="17021" stopIfTrue="1" operator="between">
      <formula>0</formula>
      <formula>0.255</formula>
    </cfRule>
  </conditionalFormatting>
  <conditionalFormatting sqref="U215">
    <cfRule type="cellIs" dxfId="11617" priority="17012" operator="between">
      <formula>0.376</formula>
      <formula>0.475</formula>
    </cfRule>
    <cfRule type="cellIs" dxfId="11616" priority="17013" operator="between">
      <formula>0.2551</formula>
      <formula>0.3751</formula>
    </cfRule>
    <cfRule type="cellIs" dxfId="11615" priority="17014" operator="greaterThan">
      <formula>0.505</formula>
    </cfRule>
    <cfRule type="cellIs" dxfId="11614" priority="17015" operator="between">
      <formula>0.48</formula>
      <formula>0.5</formula>
    </cfRule>
    <cfRule type="cellIs" dxfId="11613" priority="17016" stopIfTrue="1" operator="between">
      <formula>0</formula>
      <formula>0.255</formula>
    </cfRule>
  </conditionalFormatting>
  <conditionalFormatting sqref="Z215">
    <cfRule type="cellIs" dxfId="11612" priority="17007" operator="between">
      <formula>0.76</formula>
      <formula>0.95</formula>
    </cfRule>
    <cfRule type="cellIs" dxfId="11611" priority="17008" operator="between">
      <formula>0.51</formula>
      <formula>0.75</formula>
    </cfRule>
    <cfRule type="cellIs" dxfId="11610" priority="17009" operator="greaterThan">
      <formula>1</formula>
    </cfRule>
    <cfRule type="cellIs" dxfId="11609" priority="17010" operator="between">
      <formula>0.95</formula>
      <formula>1</formula>
    </cfRule>
    <cfRule type="cellIs" dxfId="11608" priority="17011" stopIfTrue="1" operator="between">
      <formula>0</formula>
      <formula>0.5</formula>
    </cfRule>
  </conditionalFormatting>
  <conditionalFormatting sqref="AG215">
    <cfRule type="cellIs" dxfId="11607" priority="17002" operator="between">
      <formula>0.76</formula>
      <formula>0.95</formula>
    </cfRule>
    <cfRule type="cellIs" dxfId="11606" priority="17003" operator="between">
      <formula>0.51</formula>
      <formula>0.75</formula>
    </cfRule>
    <cfRule type="cellIs" dxfId="11605" priority="17004" operator="greaterThan">
      <formula>1</formula>
    </cfRule>
    <cfRule type="cellIs" dxfId="11604" priority="17005" operator="between">
      <formula>0.95</formula>
      <formula>1</formula>
    </cfRule>
    <cfRule type="cellIs" dxfId="11603" priority="17006" stopIfTrue="1" operator="between">
      <formula>0</formula>
      <formula>0.5</formula>
    </cfRule>
  </conditionalFormatting>
  <conditionalFormatting sqref="AI215">
    <cfRule type="cellIs" dxfId="11602" priority="16997" operator="between">
      <formula>0.76</formula>
      <formula>0.95</formula>
    </cfRule>
    <cfRule type="cellIs" dxfId="11601" priority="16998" operator="between">
      <formula>0.51</formula>
      <formula>0.75</formula>
    </cfRule>
    <cfRule type="cellIs" dxfId="11600" priority="16999" operator="greaterThan">
      <formula>1</formula>
    </cfRule>
    <cfRule type="cellIs" dxfId="11599" priority="17000" operator="between">
      <formula>0.95</formula>
      <formula>1</formula>
    </cfRule>
    <cfRule type="cellIs" dxfId="11598" priority="17001" stopIfTrue="1" operator="between">
      <formula>0</formula>
      <formula>0.5</formula>
    </cfRule>
  </conditionalFormatting>
  <conditionalFormatting sqref="AA215">
    <cfRule type="cellIs" dxfId="11597" priority="16992" operator="between">
      <formula>0.56251</formula>
      <formula>0.7125</formula>
    </cfRule>
    <cfRule type="cellIs" dxfId="11596" priority="16993" operator="between">
      <formula>0.3751</formula>
      <formula>0.5625</formula>
    </cfRule>
    <cfRule type="cellIs" dxfId="11595" priority="16994" operator="greaterThan">
      <formula>0.751</formula>
    </cfRule>
    <cfRule type="cellIs" dxfId="11594" priority="16995" operator="between">
      <formula>0.71251</formula>
      <formula>0.75</formula>
    </cfRule>
    <cfRule type="cellIs" dxfId="11593" priority="16996" stopIfTrue="1" operator="between">
      <formula>0</formula>
      <formula>0.375</formula>
    </cfRule>
  </conditionalFormatting>
  <conditionalFormatting sqref="AC215">
    <cfRule type="cellIs" dxfId="11592" priority="16987" operator="between">
      <formula>0.56251</formula>
      <formula>0.7125</formula>
    </cfRule>
    <cfRule type="cellIs" dxfId="11591" priority="16988" operator="between">
      <formula>0.3751</formula>
      <formula>0.5625</formula>
    </cfRule>
    <cfRule type="cellIs" dxfId="11590" priority="16989" operator="greaterThan">
      <formula>0.751</formula>
    </cfRule>
    <cfRule type="cellIs" dxfId="11589" priority="16990" operator="between">
      <formula>0.71251</formula>
      <formula>0.75</formula>
    </cfRule>
    <cfRule type="cellIs" dxfId="11588" priority="16991" stopIfTrue="1" operator="between">
      <formula>0</formula>
      <formula>0.375</formula>
    </cfRule>
  </conditionalFormatting>
  <conditionalFormatting sqref="AB215">
    <cfRule type="cellIs" dxfId="11587" priority="16982" operator="between">
      <formula>0.56251</formula>
      <formula>0.7125</formula>
    </cfRule>
    <cfRule type="cellIs" dxfId="11586" priority="16983" operator="between">
      <formula>0.3751</formula>
      <formula>0.5625</formula>
    </cfRule>
    <cfRule type="cellIs" dxfId="11585" priority="16984" operator="greaterThan">
      <formula>0.751</formula>
    </cfRule>
    <cfRule type="cellIs" dxfId="11584" priority="16985" operator="between">
      <formula>0.71251</formula>
      <formula>0.75</formula>
    </cfRule>
    <cfRule type="cellIs" dxfId="11583" priority="16986" stopIfTrue="1" operator="between">
      <formula>0</formula>
      <formula>0.375</formula>
    </cfRule>
  </conditionalFormatting>
  <conditionalFormatting sqref="S215">
    <cfRule type="cellIs" dxfId="11582" priority="16960" operator="between">
      <formula>0.76</formula>
      <formula>0.95</formula>
    </cfRule>
    <cfRule type="cellIs" dxfId="11581" priority="16961" operator="between">
      <formula>0.51</formula>
      <formula>0.75</formula>
    </cfRule>
    <cfRule type="cellIs" dxfId="11580" priority="16962" operator="greaterThan">
      <formula>1</formula>
    </cfRule>
    <cfRule type="cellIs" dxfId="11579" priority="16963" operator="between">
      <formula>0.95</formula>
      <formula>1</formula>
    </cfRule>
    <cfRule type="cellIs" dxfId="11578" priority="16964" stopIfTrue="1" operator="between">
      <formula>0</formula>
      <formula>0.5</formula>
    </cfRule>
  </conditionalFormatting>
  <conditionalFormatting sqref="V215">
    <cfRule type="cellIs" dxfId="11577" priority="16955" operator="between">
      <formula>0.376</formula>
      <formula>0.475</formula>
    </cfRule>
    <cfRule type="cellIs" dxfId="11576" priority="16956" operator="between">
      <formula>0.2551</formula>
      <formula>0.3751</formula>
    </cfRule>
    <cfRule type="cellIs" dxfId="11575" priority="16957" operator="greaterThan">
      <formula>0.505</formula>
    </cfRule>
    <cfRule type="cellIs" dxfId="11574" priority="16958" operator="between">
      <formula>0.48</formula>
      <formula>0.5</formula>
    </cfRule>
    <cfRule type="cellIs" dxfId="11573" priority="16959" stopIfTrue="1" operator="between">
      <formula>0</formula>
      <formula>0.255</formula>
    </cfRule>
  </conditionalFormatting>
  <conditionalFormatting sqref="R216:R217">
    <cfRule type="cellIs" dxfId="11572" priority="16945" operator="between">
      <formula>0.76</formula>
      <formula>0.95</formula>
    </cfRule>
    <cfRule type="cellIs" dxfId="11571" priority="16946" operator="between">
      <formula>0.51</formula>
      <formula>0.75</formula>
    </cfRule>
    <cfRule type="cellIs" dxfId="11570" priority="16947" operator="greaterThan">
      <formula>1</formula>
    </cfRule>
    <cfRule type="cellIs" dxfId="11569" priority="16948" operator="between">
      <formula>0.95</formula>
      <formula>1</formula>
    </cfRule>
    <cfRule type="cellIs" dxfId="11568" priority="16949" stopIfTrue="1" operator="between">
      <formula>0</formula>
      <formula>0.5</formula>
    </cfRule>
  </conditionalFormatting>
  <conditionalFormatting sqref="Y216:Y217">
    <cfRule type="cellIs" dxfId="11567" priority="16940" operator="between">
      <formula>0.76</formula>
      <formula>0.95</formula>
    </cfRule>
    <cfRule type="cellIs" dxfId="11566" priority="16941" operator="between">
      <formula>0.51</formula>
      <formula>0.75</formula>
    </cfRule>
    <cfRule type="cellIs" dxfId="11565" priority="16942" operator="greaterThan">
      <formula>1</formula>
    </cfRule>
    <cfRule type="cellIs" dxfId="11564" priority="16943" operator="between">
      <formula>0.95</formula>
      <formula>1</formula>
    </cfRule>
    <cfRule type="cellIs" dxfId="11563" priority="16944" stopIfTrue="1" operator="between">
      <formula>0</formula>
      <formula>0.5</formula>
    </cfRule>
  </conditionalFormatting>
  <conditionalFormatting sqref="AF216:AF217">
    <cfRule type="cellIs" dxfId="11562" priority="16935" operator="between">
      <formula>0.76</formula>
      <formula>0.95</formula>
    </cfRule>
    <cfRule type="cellIs" dxfId="11561" priority="16936" operator="between">
      <formula>0.51</formula>
      <formula>0.75</formula>
    </cfRule>
    <cfRule type="cellIs" dxfId="11560" priority="16937" operator="greaterThan">
      <formula>1</formula>
    </cfRule>
    <cfRule type="cellIs" dxfId="11559" priority="16938" operator="between">
      <formula>0.95</formula>
      <formula>1</formula>
    </cfRule>
    <cfRule type="cellIs" dxfId="11558" priority="16939" stopIfTrue="1" operator="between">
      <formula>0</formula>
      <formula>0.5</formula>
    </cfRule>
  </conditionalFormatting>
  <conditionalFormatting sqref="AH216:AH217">
    <cfRule type="cellIs" dxfId="11557" priority="16930" operator="between">
      <formula>0.76</formula>
      <formula>0.95</formula>
    </cfRule>
    <cfRule type="cellIs" dxfId="11556" priority="16931" operator="between">
      <formula>0.51</formula>
      <formula>0.75</formula>
    </cfRule>
    <cfRule type="cellIs" dxfId="11555" priority="16932" operator="greaterThan">
      <formula>1</formula>
    </cfRule>
    <cfRule type="cellIs" dxfId="11554" priority="16933" operator="between">
      <formula>0.95</formula>
      <formula>1</formula>
    </cfRule>
    <cfRule type="cellIs" dxfId="11553" priority="16934" stopIfTrue="1" operator="between">
      <formula>0</formula>
      <formula>0.5</formula>
    </cfRule>
  </conditionalFormatting>
  <conditionalFormatting sqref="T216:T217">
    <cfRule type="cellIs" dxfId="11552" priority="16915" operator="between">
      <formula>0.3751</formula>
      <formula>0.475</formula>
    </cfRule>
    <cfRule type="cellIs" dxfId="11551" priority="16916" operator="between">
      <formula>0.2551</formula>
      <formula>0.375</formula>
    </cfRule>
    <cfRule type="cellIs" dxfId="11550" priority="16917" operator="greaterThan">
      <formula>0.505</formula>
    </cfRule>
    <cfRule type="cellIs" dxfId="11549" priority="16918" operator="between">
      <formula>0.48</formula>
      <formula>0.5</formula>
    </cfRule>
    <cfRule type="cellIs" dxfId="11548" priority="16919" stopIfTrue="1" operator="between">
      <formula>0</formula>
      <formula>0.255</formula>
    </cfRule>
  </conditionalFormatting>
  <conditionalFormatting sqref="U216:U217">
    <cfRule type="cellIs" dxfId="11547" priority="16910" operator="between">
      <formula>0.376</formula>
      <formula>0.475</formula>
    </cfRule>
    <cfRule type="cellIs" dxfId="11546" priority="16911" operator="between">
      <formula>0.2551</formula>
      <formula>0.3751</formula>
    </cfRule>
    <cfRule type="cellIs" dxfId="11545" priority="16912" operator="greaterThan">
      <formula>0.505</formula>
    </cfRule>
    <cfRule type="cellIs" dxfId="11544" priority="16913" operator="between">
      <formula>0.48</formula>
      <formula>0.5</formula>
    </cfRule>
    <cfRule type="cellIs" dxfId="11543" priority="16914" stopIfTrue="1" operator="between">
      <formula>0</formula>
      <formula>0.255</formula>
    </cfRule>
  </conditionalFormatting>
  <conditionalFormatting sqref="Z216:Z217">
    <cfRule type="cellIs" dxfId="11542" priority="16905" operator="between">
      <formula>0.76</formula>
      <formula>0.95</formula>
    </cfRule>
    <cfRule type="cellIs" dxfId="11541" priority="16906" operator="between">
      <formula>0.51</formula>
      <formula>0.75</formula>
    </cfRule>
    <cfRule type="cellIs" dxfId="11540" priority="16907" operator="greaterThan">
      <formula>1</formula>
    </cfRule>
    <cfRule type="cellIs" dxfId="11539" priority="16908" operator="between">
      <formula>0.95</formula>
      <formula>1</formula>
    </cfRule>
    <cfRule type="cellIs" dxfId="11538" priority="16909" stopIfTrue="1" operator="between">
      <formula>0</formula>
      <formula>0.5</formula>
    </cfRule>
  </conditionalFormatting>
  <conditionalFormatting sqref="AG216:AG217">
    <cfRule type="cellIs" dxfId="11537" priority="16900" operator="between">
      <formula>0.76</formula>
      <formula>0.95</formula>
    </cfRule>
    <cfRule type="cellIs" dxfId="11536" priority="16901" operator="between">
      <formula>0.51</formula>
      <formula>0.75</formula>
    </cfRule>
    <cfRule type="cellIs" dxfId="11535" priority="16902" operator="greaterThan">
      <formula>1</formula>
    </cfRule>
    <cfRule type="cellIs" dxfId="11534" priority="16903" operator="between">
      <formula>0.95</formula>
      <formula>1</formula>
    </cfRule>
    <cfRule type="cellIs" dxfId="11533" priority="16904" stopIfTrue="1" operator="between">
      <formula>0</formula>
      <formula>0.5</formula>
    </cfRule>
  </conditionalFormatting>
  <conditionalFormatting sqref="AI216:AI217">
    <cfRule type="cellIs" dxfId="11532" priority="16895" operator="between">
      <formula>0.76</formula>
      <formula>0.95</formula>
    </cfRule>
    <cfRule type="cellIs" dxfId="11531" priority="16896" operator="between">
      <formula>0.51</formula>
      <formula>0.75</formula>
    </cfRule>
    <cfRule type="cellIs" dxfId="11530" priority="16897" operator="greaterThan">
      <formula>1</formula>
    </cfRule>
    <cfRule type="cellIs" dxfId="11529" priority="16898" operator="between">
      <formula>0.95</formula>
      <formula>1</formula>
    </cfRule>
    <cfRule type="cellIs" dxfId="11528" priority="16899" stopIfTrue="1" operator="between">
      <formula>0</formula>
      <formula>0.5</formula>
    </cfRule>
  </conditionalFormatting>
  <conditionalFormatting sqref="AA216:AA217">
    <cfRule type="cellIs" dxfId="11527" priority="16890" operator="between">
      <formula>0.56251</formula>
      <formula>0.7125</formula>
    </cfRule>
    <cfRule type="cellIs" dxfId="11526" priority="16891" operator="between">
      <formula>0.3751</formula>
      <formula>0.5625</formula>
    </cfRule>
    <cfRule type="cellIs" dxfId="11525" priority="16892" operator="greaterThan">
      <formula>0.751</formula>
    </cfRule>
    <cfRule type="cellIs" dxfId="11524" priority="16893" operator="between">
      <formula>0.71251</formula>
      <formula>0.75</formula>
    </cfRule>
    <cfRule type="cellIs" dxfId="11523" priority="16894" stopIfTrue="1" operator="between">
      <formula>0</formula>
      <formula>0.375</formula>
    </cfRule>
  </conditionalFormatting>
  <conditionalFormatting sqref="AC216:AC217">
    <cfRule type="cellIs" dxfId="11522" priority="16885" operator="between">
      <formula>0.56251</formula>
      <formula>0.7125</formula>
    </cfRule>
    <cfRule type="cellIs" dxfId="11521" priority="16886" operator="between">
      <formula>0.3751</formula>
      <formula>0.5625</formula>
    </cfRule>
    <cfRule type="cellIs" dxfId="11520" priority="16887" operator="greaterThan">
      <formula>0.751</formula>
    </cfRule>
    <cfRule type="cellIs" dxfId="11519" priority="16888" operator="between">
      <formula>0.71251</formula>
      <formula>0.75</formula>
    </cfRule>
    <cfRule type="cellIs" dxfId="11518" priority="16889" stopIfTrue="1" operator="between">
      <formula>0</formula>
      <formula>0.375</formula>
    </cfRule>
  </conditionalFormatting>
  <conditionalFormatting sqref="AB216:AB217">
    <cfRule type="cellIs" dxfId="11517" priority="16880" operator="between">
      <formula>0.56251</formula>
      <formula>0.7125</formula>
    </cfRule>
    <cfRule type="cellIs" dxfId="11516" priority="16881" operator="between">
      <formula>0.3751</formula>
      <formula>0.5625</formula>
    </cfRule>
    <cfRule type="cellIs" dxfId="11515" priority="16882" operator="greaterThan">
      <formula>0.751</formula>
    </cfRule>
    <cfRule type="cellIs" dxfId="11514" priority="16883" operator="between">
      <formula>0.71251</formula>
      <formula>0.75</formula>
    </cfRule>
    <cfRule type="cellIs" dxfId="11513" priority="16884" stopIfTrue="1" operator="between">
      <formula>0</formula>
      <formula>0.375</formula>
    </cfRule>
  </conditionalFormatting>
  <conditionalFormatting sqref="S216:S217">
    <cfRule type="cellIs" dxfId="11512" priority="16858" operator="between">
      <formula>0.76</formula>
      <formula>0.95</formula>
    </cfRule>
    <cfRule type="cellIs" dxfId="11511" priority="16859" operator="between">
      <formula>0.51</formula>
      <formula>0.75</formula>
    </cfRule>
    <cfRule type="cellIs" dxfId="11510" priority="16860" operator="greaterThan">
      <formula>1</formula>
    </cfRule>
    <cfRule type="cellIs" dxfId="11509" priority="16861" operator="between">
      <formula>0.95</formula>
      <formula>1</formula>
    </cfRule>
    <cfRule type="cellIs" dxfId="11508" priority="16862" stopIfTrue="1" operator="between">
      <formula>0</formula>
      <formula>0.5</formula>
    </cfRule>
  </conditionalFormatting>
  <conditionalFormatting sqref="V216:V217">
    <cfRule type="cellIs" dxfId="11507" priority="16853" operator="between">
      <formula>0.376</formula>
      <formula>0.475</formula>
    </cfRule>
    <cfRule type="cellIs" dxfId="11506" priority="16854" operator="between">
      <formula>0.2551</formula>
      <formula>0.3751</formula>
    </cfRule>
    <cfRule type="cellIs" dxfId="11505" priority="16855" operator="greaterThan">
      <formula>0.505</formula>
    </cfRule>
    <cfRule type="cellIs" dxfId="11504" priority="16856" operator="between">
      <formula>0.48</formula>
      <formula>0.5</formula>
    </cfRule>
    <cfRule type="cellIs" dxfId="11503" priority="16857" stopIfTrue="1" operator="between">
      <formula>0</formula>
      <formula>0.255</formula>
    </cfRule>
  </conditionalFormatting>
  <conditionalFormatting sqref="S159">
    <cfRule type="cellIs" dxfId="11502" priority="16838" operator="between">
      <formula>0.76</formula>
      <formula>0.95</formula>
    </cfRule>
    <cfRule type="cellIs" dxfId="11501" priority="16839" operator="between">
      <formula>0.51</formula>
      <formula>0.75</formula>
    </cfRule>
    <cfRule type="cellIs" dxfId="11500" priority="16840" operator="greaterThan">
      <formula>1</formula>
    </cfRule>
    <cfRule type="cellIs" dxfId="11499" priority="16841" operator="between">
      <formula>0.95</formula>
      <formula>1</formula>
    </cfRule>
    <cfRule type="cellIs" dxfId="11498" priority="16842" stopIfTrue="1" operator="between">
      <formula>0</formula>
      <formula>0.5</formula>
    </cfRule>
  </conditionalFormatting>
  <conditionalFormatting sqref="Z159">
    <cfRule type="cellIs" dxfId="11497" priority="16828" operator="between">
      <formula>0.76</formula>
      <formula>0.95</formula>
    </cfRule>
    <cfRule type="cellIs" dxfId="11496" priority="16829" operator="between">
      <formula>0.51</formula>
      <formula>0.75</formula>
    </cfRule>
    <cfRule type="cellIs" dxfId="11495" priority="16830" operator="greaterThan">
      <formula>1</formula>
    </cfRule>
    <cfRule type="cellIs" dxfId="11494" priority="16831" operator="between">
      <formula>0.95</formula>
      <formula>1</formula>
    </cfRule>
    <cfRule type="cellIs" dxfId="11493" priority="16832" stopIfTrue="1" operator="between">
      <formula>0</formula>
      <formula>0.5</formula>
    </cfRule>
  </conditionalFormatting>
  <conditionalFormatting sqref="Y36:Z36 AF36 AH36:AI36">
    <cfRule type="cellIs" dxfId="11492" priority="16604" operator="between">
      <formula>0.76</formula>
      <formula>0.95</formula>
    </cfRule>
    <cfRule type="cellIs" dxfId="11491" priority="16605" operator="between">
      <formula>0.51</formula>
      <formula>0.75</formula>
    </cfRule>
    <cfRule type="cellIs" dxfId="11490" priority="16606" operator="greaterThan">
      <formula>1</formula>
    </cfRule>
    <cfRule type="cellIs" dxfId="11489" priority="16607" operator="between">
      <formula>0.95</formula>
      <formula>1</formula>
    </cfRule>
    <cfRule type="cellIs" dxfId="11488" priority="16608" stopIfTrue="1" operator="between">
      <formula>0</formula>
      <formula>0.5</formula>
    </cfRule>
  </conditionalFormatting>
  <conditionalFormatting sqref="AC36">
    <cfRule type="cellIs" dxfId="11487" priority="16594" operator="between">
      <formula>0.56251</formula>
      <formula>0.7125</formula>
    </cfRule>
    <cfRule type="cellIs" dxfId="11486" priority="16595" operator="between">
      <formula>0.3751</formula>
      <formula>0.5625</formula>
    </cfRule>
    <cfRule type="cellIs" dxfId="11485" priority="16596" operator="greaterThan">
      <formula>0.751</formula>
    </cfRule>
    <cfRule type="cellIs" dxfId="11484" priority="16597" operator="between">
      <formula>0.71251</formula>
      <formula>0.75</formula>
    </cfRule>
    <cfRule type="cellIs" dxfId="11483" priority="16598" stopIfTrue="1" operator="between">
      <formula>0</formula>
      <formula>0.375</formula>
    </cfRule>
  </conditionalFormatting>
  <conditionalFormatting sqref="U36:V36">
    <cfRule type="cellIs" dxfId="11482" priority="16584" operator="between">
      <formula>0.376</formula>
      <formula>0.475</formula>
    </cfRule>
    <cfRule type="cellIs" dxfId="11481" priority="16585" operator="between">
      <formula>0.2551</formula>
      <formula>0.3751</formula>
    </cfRule>
    <cfRule type="cellIs" dxfId="11480" priority="16586" operator="greaterThan">
      <formula>0.505</formula>
    </cfRule>
    <cfRule type="cellIs" dxfId="11479" priority="16587" operator="between">
      <formula>0.48</formula>
      <formula>0.5</formula>
    </cfRule>
    <cfRule type="cellIs" dxfId="11478" priority="16588" stopIfTrue="1" operator="between">
      <formula>0</formula>
      <formula>0.255</formula>
    </cfRule>
  </conditionalFormatting>
  <conditionalFormatting sqref="S36">
    <cfRule type="cellIs" dxfId="11477" priority="16564" operator="between">
      <formula>0.76</formula>
      <formula>0.95</formula>
    </cfRule>
    <cfRule type="cellIs" dxfId="11476" priority="16565" operator="between">
      <formula>0.51</formula>
      <formula>0.75</formula>
    </cfRule>
    <cfRule type="cellIs" dxfId="11475" priority="16566" operator="greaterThan">
      <formula>1</formula>
    </cfRule>
    <cfRule type="cellIs" dxfId="11474" priority="16567" operator="between">
      <formula>0.95</formula>
      <formula>1</formula>
    </cfRule>
    <cfRule type="cellIs" dxfId="11473" priority="16568" stopIfTrue="1" operator="between">
      <formula>0</formula>
      <formula>0.5</formula>
    </cfRule>
  </conditionalFormatting>
  <conditionalFormatting sqref="AG36">
    <cfRule type="cellIs" dxfId="11472" priority="16559" operator="between">
      <formula>0.76</formula>
      <formula>0.95</formula>
    </cfRule>
    <cfRule type="cellIs" dxfId="11471" priority="16560" operator="between">
      <formula>0.51</formula>
      <formula>0.75</formula>
    </cfRule>
    <cfRule type="cellIs" dxfId="11470" priority="16561" operator="greaterThan">
      <formula>1</formula>
    </cfRule>
    <cfRule type="cellIs" dxfId="11469" priority="16562" operator="between">
      <formula>0.95</formula>
      <formula>1</formula>
    </cfRule>
    <cfRule type="cellIs" dxfId="11468" priority="16563" stopIfTrue="1" operator="between">
      <formula>0</formula>
      <formula>0.5</formula>
    </cfRule>
  </conditionalFormatting>
  <conditionalFormatting sqref="AI236">
    <cfRule type="cellIs" dxfId="11467" priority="16554" operator="between">
      <formula>0.76</formula>
      <formula>0.95</formula>
    </cfRule>
    <cfRule type="cellIs" dxfId="11466" priority="16555" operator="between">
      <formula>0.51</formula>
      <formula>0.75</formula>
    </cfRule>
    <cfRule type="cellIs" dxfId="11465" priority="16556" operator="greaterThan">
      <formula>1</formula>
    </cfRule>
    <cfRule type="cellIs" dxfId="11464" priority="16557" operator="between">
      <formula>0.95</formula>
      <formula>1</formula>
    </cfRule>
    <cfRule type="cellIs" dxfId="11463" priority="16558" stopIfTrue="1" operator="between">
      <formula>0</formula>
      <formula>0.5</formula>
    </cfRule>
  </conditionalFormatting>
  <conditionalFormatting sqref="AH236">
    <cfRule type="cellIs" dxfId="11462" priority="16549" operator="between">
      <formula>0.76</formula>
      <formula>0.95</formula>
    </cfRule>
    <cfRule type="cellIs" dxfId="11461" priority="16550" operator="between">
      <formula>0.51</formula>
      <formula>0.75</formula>
    </cfRule>
    <cfRule type="cellIs" dxfId="11460" priority="16551" operator="greaterThan">
      <formula>1</formula>
    </cfRule>
    <cfRule type="cellIs" dxfId="11459" priority="16552" operator="between">
      <formula>0.95</formula>
      <formula>1</formula>
    </cfRule>
    <cfRule type="cellIs" dxfId="11458" priority="16553" stopIfTrue="1" operator="between">
      <formula>0</formula>
      <formula>0.5</formula>
    </cfRule>
  </conditionalFormatting>
  <conditionalFormatting sqref="AF236">
    <cfRule type="cellIs" dxfId="11457" priority="16544" operator="between">
      <formula>0.76</formula>
      <formula>0.95</formula>
    </cfRule>
    <cfRule type="cellIs" dxfId="11456" priority="16545" operator="between">
      <formula>0.51</formula>
      <formula>0.75</formula>
    </cfRule>
    <cfRule type="cellIs" dxfId="11455" priority="16546" operator="greaterThan">
      <formula>1</formula>
    </cfRule>
    <cfRule type="cellIs" dxfId="11454" priority="16547" operator="between">
      <formula>0.95</formula>
      <formula>1</formula>
    </cfRule>
    <cfRule type="cellIs" dxfId="11453" priority="16548" stopIfTrue="1" operator="between">
      <formula>0</formula>
      <formula>0.5</formula>
    </cfRule>
  </conditionalFormatting>
  <conditionalFormatting sqref="AF236">
    <cfRule type="cellIs" dxfId="11452" priority="16539" operator="between">
      <formula>0.76</formula>
      <formula>0.95</formula>
    </cfRule>
    <cfRule type="cellIs" dxfId="11451" priority="16540" operator="between">
      <formula>0.51</formula>
      <formula>0.75</formula>
    </cfRule>
    <cfRule type="cellIs" dxfId="11450" priority="16541" operator="greaterThan">
      <formula>1</formula>
    </cfRule>
    <cfRule type="cellIs" dxfId="11449" priority="16542" operator="between">
      <formula>0.95</formula>
      <formula>1</formula>
    </cfRule>
    <cfRule type="cellIs" dxfId="11448" priority="16543" stopIfTrue="1" operator="between">
      <formula>0</formula>
      <formula>0.5</formula>
    </cfRule>
  </conditionalFormatting>
  <conditionalFormatting sqref="AF236">
    <cfRule type="cellIs" dxfId="11447" priority="16534" operator="between">
      <formula>0.76</formula>
      <formula>0.95</formula>
    </cfRule>
    <cfRule type="cellIs" dxfId="11446" priority="16535" operator="between">
      <formula>0.51</formula>
      <formula>0.75</formula>
    </cfRule>
    <cfRule type="cellIs" dxfId="11445" priority="16536" operator="greaterThan">
      <formula>1</formula>
    </cfRule>
    <cfRule type="cellIs" dxfId="11444" priority="16537" operator="between">
      <formula>0.95</formula>
      <formula>1</formula>
    </cfRule>
    <cfRule type="cellIs" dxfId="11443" priority="16538" stopIfTrue="1" operator="between">
      <formula>0</formula>
      <formula>0.5</formula>
    </cfRule>
  </conditionalFormatting>
  <conditionalFormatting sqref="AF236">
    <cfRule type="cellIs" dxfId="11442" priority="16529" operator="between">
      <formula>0.76</formula>
      <formula>0.95</formula>
    </cfRule>
    <cfRule type="cellIs" dxfId="11441" priority="16530" operator="between">
      <formula>0.51</formula>
      <formula>0.75</formula>
    </cfRule>
    <cfRule type="cellIs" dxfId="11440" priority="16531" operator="greaterThan">
      <formula>1</formula>
    </cfRule>
    <cfRule type="cellIs" dxfId="11439" priority="16532" operator="between">
      <formula>0.95</formula>
      <formula>1</formula>
    </cfRule>
    <cfRule type="cellIs" dxfId="11438" priority="16533" stopIfTrue="1" operator="between">
      <formula>0</formula>
      <formula>0.5</formula>
    </cfRule>
  </conditionalFormatting>
  <conditionalFormatting sqref="AG236">
    <cfRule type="cellIs" dxfId="11437" priority="16524" operator="between">
      <formula>0.76</formula>
      <formula>0.95</formula>
    </cfRule>
    <cfRule type="cellIs" dxfId="11436" priority="16525" operator="between">
      <formula>0.51</formula>
      <formula>0.75</formula>
    </cfRule>
    <cfRule type="cellIs" dxfId="11435" priority="16526" operator="greaterThan">
      <formula>1</formula>
    </cfRule>
    <cfRule type="cellIs" dxfId="11434" priority="16527" operator="between">
      <formula>0.95</formula>
      <formula>1</formula>
    </cfRule>
    <cfRule type="cellIs" dxfId="11433" priority="16528" stopIfTrue="1" operator="between">
      <formula>0</formula>
      <formula>0.5</formula>
    </cfRule>
  </conditionalFormatting>
  <conditionalFormatting sqref="Y236:Z236">
    <cfRule type="cellIs" dxfId="11432" priority="16516" operator="between">
      <formula>0.76</formula>
      <formula>0.95</formula>
    </cfRule>
    <cfRule type="cellIs" dxfId="11431" priority="16517" operator="between">
      <formula>0.51</formula>
      <formula>0.75</formula>
    </cfRule>
    <cfRule type="cellIs" dxfId="11430" priority="16518" operator="greaterThan">
      <formula>1</formula>
    </cfRule>
    <cfRule type="cellIs" dxfId="11429" priority="16519" operator="between">
      <formula>0.95</formula>
      <formula>1</formula>
    </cfRule>
    <cfRule type="cellIs" dxfId="11428" priority="16520" stopIfTrue="1" operator="between">
      <formula>0</formula>
      <formula>0.5</formula>
    </cfRule>
  </conditionalFormatting>
  <conditionalFormatting sqref="AA236">
    <cfRule type="cellIs" dxfId="11427" priority="16511" operator="between">
      <formula>0.56251</formula>
      <formula>0.7125</formula>
    </cfRule>
    <cfRule type="cellIs" dxfId="11426" priority="16512" operator="between">
      <formula>0.3751</formula>
      <formula>0.5625</formula>
    </cfRule>
    <cfRule type="cellIs" dxfId="11425" priority="16513" operator="greaterThan">
      <formula>0.751</formula>
    </cfRule>
    <cfRule type="cellIs" dxfId="11424" priority="16514" operator="between">
      <formula>0.71251</formula>
      <formula>0.75</formula>
    </cfRule>
    <cfRule type="cellIs" dxfId="11423" priority="16515" stopIfTrue="1" operator="between">
      <formula>0</formula>
      <formula>0.375</formula>
    </cfRule>
  </conditionalFormatting>
  <conditionalFormatting sqref="AB236">
    <cfRule type="cellIs" dxfId="11422" priority="16506" operator="between">
      <formula>0.56251</formula>
      <formula>0.7125</formula>
    </cfRule>
    <cfRule type="cellIs" dxfId="11421" priority="16507" operator="between">
      <formula>0.3751</formula>
      <formula>0.5625</formula>
    </cfRule>
    <cfRule type="cellIs" dxfId="11420" priority="16508" operator="greaterThan">
      <formula>0.751</formula>
    </cfRule>
    <cfRule type="cellIs" dxfId="11419" priority="16509" operator="between">
      <formula>0.71251</formula>
      <formula>0.75</formula>
    </cfRule>
    <cfRule type="cellIs" dxfId="11418" priority="16510" stopIfTrue="1" operator="between">
      <formula>0</formula>
      <formula>0.375</formula>
    </cfRule>
  </conditionalFormatting>
  <conditionalFormatting sqref="R236:S236">
    <cfRule type="cellIs" dxfId="11417" priority="16498" operator="between">
      <formula>0.76</formula>
      <formula>0.95</formula>
    </cfRule>
    <cfRule type="cellIs" dxfId="11416" priority="16499" operator="between">
      <formula>0.51</formula>
      <formula>0.75</formula>
    </cfRule>
    <cfRule type="cellIs" dxfId="11415" priority="16500" operator="greaterThan">
      <formula>1</formula>
    </cfRule>
    <cfRule type="cellIs" dxfId="11414" priority="16501" operator="between">
      <formula>0.95</formula>
      <formula>1</formula>
    </cfRule>
    <cfRule type="cellIs" dxfId="11413" priority="16502" stopIfTrue="1" operator="between">
      <formula>0</formula>
      <formula>0.5</formula>
    </cfRule>
  </conditionalFormatting>
  <conditionalFormatting sqref="T236">
    <cfRule type="cellIs" dxfId="11412" priority="16493" operator="between">
      <formula>0.3751</formula>
      <formula>0.475</formula>
    </cfRule>
    <cfRule type="cellIs" dxfId="11411" priority="16494" operator="between">
      <formula>0.2551</formula>
      <formula>0.375</formula>
    </cfRule>
    <cfRule type="cellIs" dxfId="11410" priority="16495" operator="greaterThan">
      <formula>0.505</formula>
    </cfRule>
    <cfRule type="cellIs" dxfId="11409" priority="16496" operator="between">
      <formula>0.48</formula>
      <formula>0.5</formula>
    </cfRule>
    <cfRule type="cellIs" dxfId="11408" priority="16497" stopIfTrue="1" operator="between">
      <formula>0</formula>
      <formula>0.255</formula>
    </cfRule>
  </conditionalFormatting>
  <conditionalFormatting sqref="U236">
    <cfRule type="cellIs" dxfId="11407" priority="16483" operator="between">
      <formula>0.376</formula>
      <formula>0.475</formula>
    </cfRule>
    <cfRule type="cellIs" dxfId="11406" priority="16484" operator="between">
      <formula>0.2551</formula>
      <formula>0.3751</formula>
    </cfRule>
    <cfRule type="cellIs" dxfId="11405" priority="16485" operator="greaterThan">
      <formula>0.505</formula>
    </cfRule>
    <cfRule type="cellIs" dxfId="11404" priority="16486" operator="between">
      <formula>0.48</formula>
      <formula>0.5</formula>
    </cfRule>
    <cfRule type="cellIs" dxfId="11403" priority="16487" stopIfTrue="1" operator="between">
      <formula>0</formula>
      <formula>0.255</formula>
    </cfRule>
  </conditionalFormatting>
  <conditionalFormatting sqref="AI237">
    <cfRule type="cellIs" dxfId="11402" priority="16452" operator="between">
      <formula>0.76</formula>
      <formula>0.95</formula>
    </cfRule>
    <cfRule type="cellIs" dxfId="11401" priority="16453" operator="between">
      <formula>0.51</formula>
      <formula>0.75</formula>
    </cfRule>
    <cfRule type="cellIs" dxfId="11400" priority="16454" operator="greaterThan">
      <formula>1</formula>
    </cfRule>
    <cfRule type="cellIs" dxfId="11399" priority="16455" operator="between">
      <formula>0.95</formula>
      <formula>1</formula>
    </cfRule>
    <cfRule type="cellIs" dxfId="11398" priority="16456" stopIfTrue="1" operator="between">
      <formula>0</formula>
      <formula>0.5</formula>
    </cfRule>
  </conditionalFormatting>
  <conditionalFormatting sqref="AH237">
    <cfRule type="cellIs" dxfId="11397" priority="16447" operator="between">
      <formula>0.76</formula>
      <formula>0.95</formula>
    </cfRule>
    <cfRule type="cellIs" dxfId="11396" priority="16448" operator="between">
      <formula>0.51</formula>
      <formula>0.75</formula>
    </cfRule>
    <cfRule type="cellIs" dxfId="11395" priority="16449" operator="greaterThan">
      <formula>1</formula>
    </cfRule>
    <cfRule type="cellIs" dxfId="11394" priority="16450" operator="between">
      <formula>0.95</formula>
      <formula>1</formula>
    </cfRule>
    <cfRule type="cellIs" dxfId="11393" priority="16451" stopIfTrue="1" operator="between">
      <formula>0</formula>
      <formula>0.5</formula>
    </cfRule>
  </conditionalFormatting>
  <conditionalFormatting sqref="AF237">
    <cfRule type="cellIs" dxfId="11392" priority="16442" operator="between">
      <formula>0.76</formula>
      <formula>0.95</formula>
    </cfRule>
    <cfRule type="cellIs" dxfId="11391" priority="16443" operator="between">
      <formula>0.51</formula>
      <formula>0.75</formula>
    </cfRule>
    <cfRule type="cellIs" dxfId="11390" priority="16444" operator="greaterThan">
      <formula>1</formula>
    </cfRule>
    <cfRule type="cellIs" dxfId="11389" priority="16445" operator="between">
      <formula>0.95</formula>
      <formula>1</formula>
    </cfRule>
    <cfRule type="cellIs" dxfId="11388" priority="16446" stopIfTrue="1" operator="between">
      <formula>0</formula>
      <formula>0.5</formula>
    </cfRule>
  </conditionalFormatting>
  <conditionalFormatting sqref="AF237">
    <cfRule type="cellIs" dxfId="11387" priority="16437" operator="between">
      <formula>0.76</formula>
      <formula>0.95</formula>
    </cfRule>
    <cfRule type="cellIs" dxfId="11386" priority="16438" operator="between">
      <formula>0.51</formula>
      <formula>0.75</formula>
    </cfRule>
    <cfRule type="cellIs" dxfId="11385" priority="16439" operator="greaterThan">
      <formula>1</formula>
    </cfRule>
    <cfRule type="cellIs" dxfId="11384" priority="16440" operator="between">
      <formula>0.95</formula>
      <formula>1</formula>
    </cfRule>
    <cfRule type="cellIs" dxfId="11383" priority="16441" stopIfTrue="1" operator="between">
      <formula>0</formula>
      <formula>0.5</formula>
    </cfRule>
  </conditionalFormatting>
  <conditionalFormatting sqref="AF237">
    <cfRule type="cellIs" dxfId="11382" priority="16432" operator="between">
      <formula>0.76</formula>
      <formula>0.95</formula>
    </cfRule>
    <cfRule type="cellIs" dxfId="11381" priority="16433" operator="between">
      <formula>0.51</formula>
      <formula>0.75</formula>
    </cfRule>
    <cfRule type="cellIs" dxfId="11380" priority="16434" operator="greaterThan">
      <formula>1</formula>
    </cfRule>
    <cfRule type="cellIs" dxfId="11379" priority="16435" operator="between">
      <formula>0.95</formula>
      <formula>1</formula>
    </cfRule>
    <cfRule type="cellIs" dxfId="11378" priority="16436" stopIfTrue="1" operator="between">
      <formula>0</formula>
      <formula>0.5</formula>
    </cfRule>
  </conditionalFormatting>
  <conditionalFormatting sqref="AF237">
    <cfRule type="cellIs" dxfId="11377" priority="16427" operator="between">
      <formula>0.76</formula>
      <formula>0.95</formula>
    </cfRule>
    <cfRule type="cellIs" dxfId="11376" priority="16428" operator="between">
      <formula>0.51</formula>
      <formula>0.75</formula>
    </cfRule>
    <cfRule type="cellIs" dxfId="11375" priority="16429" operator="greaterThan">
      <formula>1</formula>
    </cfRule>
    <cfRule type="cellIs" dxfId="11374" priority="16430" operator="between">
      <formula>0.95</formula>
      <formula>1</formula>
    </cfRule>
    <cfRule type="cellIs" dxfId="11373" priority="16431" stopIfTrue="1" operator="between">
      <formula>0</formula>
      <formula>0.5</formula>
    </cfRule>
  </conditionalFormatting>
  <conditionalFormatting sqref="AG237">
    <cfRule type="cellIs" dxfId="11372" priority="16422" operator="between">
      <formula>0.76</formula>
      <formula>0.95</formula>
    </cfRule>
    <cfRule type="cellIs" dxfId="11371" priority="16423" operator="between">
      <formula>0.51</formula>
      <formula>0.75</formula>
    </cfRule>
    <cfRule type="cellIs" dxfId="11370" priority="16424" operator="greaterThan">
      <formula>1</formula>
    </cfRule>
    <cfRule type="cellIs" dxfId="11369" priority="16425" operator="between">
      <formula>0.95</formula>
      <formula>1</formula>
    </cfRule>
    <cfRule type="cellIs" dxfId="11368" priority="16426" stopIfTrue="1" operator="between">
      <formula>0</formula>
      <formula>0.5</formula>
    </cfRule>
  </conditionalFormatting>
  <conditionalFormatting sqref="Y237:Z237">
    <cfRule type="cellIs" dxfId="11367" priority="16414" operator="between">
      <formula>0.76</formula>
      <formula>0.95</formula>
    </cfRule>
    <cfRule type="cellIs" dxfId="11366" priority="16415" operator="between">
      <formula>0.51</formula>
      <formula>0.75</formula>
    </cfRule>
    <cfRule type="cellIs" dxfId="11365" priority="16416" operator="greaterThan">
      <formula>1</formula>
    </cfRule>
    <cfRule type="cellIs" dxfId="11364" priority="16417" operator="between">
      <formula>0.95</formula>
      <formula>1</formula>
    </cfRule>
    <cfRule type="cellIs" dxfId="11363" priority="16418" stopIfTrue="1" operator="between">
      <formula>0</formula>
      <formula>0.5</formula>
    </cfRule>
  </conditionalFormatting>
  <conditionalFormatting sqref="AA237">
    <cfRule type="cellIs" dxfId="11362" priority="16409" operator="between">
      <formula>0.56251</formula>
      <formula>0.7125</formula>
    </cfRule>
    <cfRule type="cellIs" dxfId="11361" priority="16410" operator="between">
      <formula>0.3751</formula>
      <formula>0.5625</formula>
    </cfRule>
    <cfRule type="cellIs" dxfId="11360" priority="16411" operator="greaterThan">
      <formula>0.751</formula>
    </cfRule>
    <cfRule type="cellIs" dxfId="11359" priority="16412" operator="between">
      <formula>0.71251</formula>
      <formula>0.75</formula>
    </cfRule>
    <cfRule type="cellIs" dxfId="11358" priority="16413" stopIfTrue="1" operator="between">
      <formula>0</formula>
      <formula>0.375</formula>
    </cfRule>
  </conditionalFormatting>
  <conditionalFormatting sqref="AB237">
    <cfRule type="cellIs" dxfId="11357" priority="16404" operator="between">
      <formula>0.56251</formula>
      <formula>0.7125</formula>
    </cfRule>
    <cfRule type="cellIs" dxfId="11356" priority="16405" operator="between">
      <formula>0.3751</formula>
      <formula>0.5625</formula>
    </cfRule>
    <cfRule type="cellIs" dxfId="11355" priority="16406" operator="greaterThan">
      <formula>0.751</formula>
    </cfRule>
    <cfRule type="cellIs" dxfId="11354" priority="16407" operator="between">
      <formula>0.71251</formula>
      <formula>0.75</formula>
    </cfRule>
    <cfRule type="cellIs" dxfId="11353" priority="16408" stopIfTrue="1" operator="between">
      <formula>0</formula>
      <formula>0.375</formula>
    </cfRule>
  </conditionalFormatting>
  <conditionalFormatting sqref="R237:S237">
    <cfRule type="cellIs" dxfId="11352" priority="16396" operator="between">
      <formula>0.76</formula>
      <formula>0.95</formula>
    </cfRule>
    <cfRule type="cellIs" dxfId="11351" priority="16397" operator="between">
      <formula>0.51</formula>
      <formula>0.75</formula>
    </cfRule>
    <cfRule type="cellIs" dxfId="11350" priority="16398" operator="greaterThan">
      <formula>1</formula>
    </cfRule>
    <cfRule type="cellIs" dxfId="11349" priority="16399" operator="between">
      <formula>0.95</formula>
      <formula>1</formula>
    </cfRule>
    <cfRule type="cellIs" dxfId="11348" priority="16400" stopIfTrue="1" operator="between">
      <formula>0</formula>
      <formula>0.5</formula>
    </cfRule>
  </conditionalFormatting>
  <conditionalFormatting sqref="T237">
    <cfRule type="cellIs" dxfId="11347" priority="16391" operator="between">
      <formula>0.3751</formula>
      <formula>0.475</formula>
    </cfRule>
    <cfRule type="cellIs" dxfId="11346" priority="16392" operator="between">
      <formula>0.2551</formula>
      <formula>0.375</formula>
    </cfRule>
    <cfRule type="cellIs" dxfId="11345" priority="16393" operator="greaterThan">
      <formula>0.505</formula>
    </cfRule>
    <cfRule type="cellIs" dxfId="11344" priority="16394" operator="between">
      <formula>0.48</formula>
      <formula>0.5</formula>
    </cfRule>
    <cfRule type="cellIs" dxfId="11343" priority="16395" stopIfTrue="1" operator="between">
      <formula>0</formula>
      <formula>0.255</formula>
    </cfRule>
  </conditionalFormatting>
  <conditionalFormatting sqref="U237">
    <cfRule type="cellIs" dxfId="11342" priority="16381" operator="between">
      <formula>0.376</formula>
      <formula>0.475</formula>
    </cfRule>
    <cfRule type="cellIs" dxfId="11341" priority="16382" operator="between">
      <formula>0.2551</formula>
      <formula>0.3751</formula>
    </cfRule>
    <cfRule type="cellIs" dxfId="11340" priority="16383" operator="greaterThan">
      <formula>0.505</formula>
    </cfRule>
    <cfRule type="cellIs" dxfId="11339" priority="16384" operator="between">
      <formula>0.48</formula>
      <formula>0.5</formula>
    </cfRule>
    <cfRule type="cellIs" dxfId="11338" priority="16385" stopIfTrue="1" operator="between">
      <formula>0</formula>
      <formula>0.255</formula>
    </cfRule>
  </conditionalFormatting>
  <conditionalFormatting sqref="Y35 R35 AF35 AH35:AI35">
    <cfRule type="cellIs" dxfId="11337" priority="16360" operator="between">
      <formula>0.76</formula>
      <formula>0.95</formula>
    </cfRule>
    <cfRule type="cellIs" dxfId="11336" priority="16361" operator="between">
      <formula>0.51</formula>
      <formula>0.75</formula>
    </cfRule>
    <cfRule type="cellIs" dxfId="11335" priority="16362" operator="greaterThan">
      <formula>1</formula>
    </cfRule>
    <cfRule type="cellIs" dxfId="11334" priority="16363" operator="between">
      <formula>0.95</formula>
      <formula>1</formula>
    </cfRule>
    <cfRule type="cellIs" dxfId="11333" priority="16364" stopIfTrue="1" operator="between">
      <formula>0</formula>
      <formula>0.5</formula>
    </cfRule>
  </conditionalFormatting>
  <conditionalFormatting sqref="T35">
    <cfRule type="cellIs" dxfId="11332" priority="16355" operator="between">
      <formula>0.3751</formula>
      <formula>0.475</formula>
    </cfRule>
    <cfRule type="cellIs" dxfId="11331" priority="16356" operator="between">
      <formula>0.2551</formula>
      <formula>0.375</formula>
    </cfRule>
    <cfRule type="cellIs" dxfId="11330" priority="16357" operator="greaterThan">
      <formula>0.505</formula>
    </cfRule>
    <cfRule type="cellIs" dxfId="11329" priority="16358" operator="between">
      <formula>0.48</formula>
      <formula>0.5</formula>
    </cfRule>
    <cfRule type="cellIs" dxfId="11328" priority="16359" stopIfTrue="1" operator="between">
      <formula>0</formula>
      <formula>0.255</formula>
    </cfRule>
  </conditionalFormatting>
  <conditionalFormatting sqref="AA35:AB35">
    <cfRule type="cellIs" dxfId="11327" priority="16350" operator="between">
      <formula>0.56251</formula>
      <formula>0.7125</formula>
    </cfRule>
    <cfRule type="cellIs" dxfId="11326" priority="16351" operator="between">
      <formula>0.3751</formula>
      <formula>0.5625</formula>
    </cfRule>
    <cfRule type="cellIs" dxfId="11325" priority="16352" operator="greaterThan">
      <formula>0.751</formula>
    </cfRule>
    <cfRule type="cellIs" dxfId="11324" priority="16353" operator="between">
      <formula>0.71251</formula>
      <formula>0.75</formula>
    </cfRule>
    <cfRule type="cellIs" dxfId="11323" priority="16354" stopIfTrue="1" operator="between">
      <formula>0</formula>
      <formula>0.375</formula>
    </cfRule>
  </conditionalFormatting>
  <conditionalFormatting sqref="U35">
    <cfRule type="cellIs" dxfId="11322" priority="16340" operator="between">
      <formula>0.376</formula>
      <formula>0.475</formula>
    </cfRule>
    <cfRule type="cellIs" dxfId="11321" priority="16341" operator="between">
      <formula>0.2551</formula>
      <formula>0.3751</formula>
    </cfRule>
    <cfRule type="cellIs" dxfId="11320" priority="16342" operator="greaterThan">
      <formula>0.505</formula>
    </cfRule>
    <cfRule type="cellIs" dxfId="11319" priority="16343" operator="between">
      <formula>0.48</formula>
      <formula>0.5</formula>
    </cfRule>
    <cfRule type="cellIs" dxfId="11318" priority="16344" stopIfTrue="1" operator="between">
      <formula>0</formula>
      <formula>0.255</formula>
    </cfRule>
  </conditionalFormatting>
  <conditionalFormatting sqref="AG35">
    <cfRule type="cellIs" dxfId="11317" priority="16315" operator="between">
      <formula>0.76</formula>
      <formula>0.95</formula>
    </cfRule>
    <cfRule type="cellIs" dxfId="11316" priority="16316" operator="between">
      <formula>0.51</formula>
      <formula>0.75</formula>
    </cfRule>
    <cfRule type="cellIs" dxfId="11315" priority="16317" operator="greaterThan">
      <formula>1</formula>
    </cfRule>
    <cfRule type="cellIs" dxfId="11314" priority="16318" operator="between">
      <formula>0.95</formula>
      <formula>1</formula>
    </cfRule>
    <cfRule type="cellIs" dxfId="11313" priority="16319" stopIfTrue="1" operator="between">
      <formula>0</formula>
      <formula>0.5</formula>
    </cfRule>
  </conditionalFormatting>
  <conditionalFormatting sqref="Z35">
    <cfRule type="cellIs" dxfId="11312" priority="16300" operator="between">
      <formula>0.76</formula>
      <formula>0.95</formula>
    </cfRule>
    <cfRule type="cellIs" dxfId="11311" priority="16301" operator="between">
      <formula>0.51</formula>
      <formula>0.75</formula>
    </cfRule>
    <cfRule type="cellIs" dxfId="11310" priority="16302" operator="greaterThan">
      <formula>1</formula>
    </cfRule>
    <cfRule type="cellIs" dxfId="11309" priority="16303" operator="between">
      <formula>0.95</formula>
      <formula>1</formula>
    </cfRule>
    <cfRule type="cellIs" dxfId="11308" priority="16304" stopIfTrue="1" operator="between">
      <formula>0</formula>
      <formula>0.5</formula>
    </cfRule>
  </conditionalFormatting>
  <conditionalFormatting sqref="AC35">
    <cfRule type="cellIs" dxfId="11307" priority="16295" operator="between">
      <formula>0.56251</formula>
      <formula>0.7125</formula>
    </cfRule>
    <cfRule type="cellIs" dxfId="11306" priority="16296" operator="between">
      <formula>0.3751</formula>
      <formula>0.5625</formula>
    </cfRule>
    <cfRule type="cellIs" dxfId="11305" priority="16297" operator="greaterThan">
      <formula>0.751</formula>
    </cfRule>
    <cfRule type="cellIs" dxfId="11304" priority="16298" operator="between">
      <formula>0.71251</formula>
      <formula>0.75</formula>
    </cfRule>
    <cfRule type="cellIs" dxfId="11303" priority="16299" stopIfTrue="1" operator="between">
      <formula>0</formula>
      <formula>0.375</formula>
    </cfRule>
  </conditionalFormatting>
  <conditionalFormatting sqref="S35">
    <cfRule type="cellIs" dxfId="11302" priority="16290" operator="between">
      <formula>0.76</formula>
      <formula>0.95</formula>
    </cfRule>
    <cfRule type="cellIs" dxfId="11301" priority="16291" operator="between">
      <formula>0.51</formula>
      <formula>0.75</formula>
    </cfRule>
    <cfRule type="cellIs" dxfId="11300" priority="16292" operator="greaterThan">
      <formula>1</formula>
    </cfRule>
    <cfRule type="cellIs" dxfId="11299" priority="16293" operator="between">
      <formula>0.95</formula>
      <formula>1</formula>
    </cfRule>
    <cfRule type="cellIs" dxfId="11298" priority="16294" stopIfTrue="1" operator="between">
      <formula>0</formula>
      <formula>0.5</formula>
    </cfRule>
  </conditionalFormatting>
  <conditionalFormatting sqref="V35">
    <cfRule type="cellIs" dxfId="11297" priority="16285" operator="between">
      <formula>0.376</formula>
      <formula>0.475</formula>
    </cfRule>
    <cfRule type="cellIs" dxfId="11296" priority="16286" operator="between">
      <formula>0.2551</formula>
      <formula>0.3751</formula>
    </cfRule>
    <cfRule type="cellIs" dxfId="11295" priority="16287" operator="greaterThan">
      <formula>0.505</formula>
    </cfRule>
    <cfRule type="cellIs" dxfId="11294" priority="16288" operator="between">
      <formula>0.48</formula>
      <formula>0.5</formula>
    </cfRule>
    <cfRule type="cellIs" dxfId="11293" priority="16289" stopIfTrue="1" operator="between">
      <formula>0</formula>
      <formula>0.255</formula>
    </cfRule>
  </conditionalFormatting>
  <conditionalFormatting sqref="Y30 R30 AF30 AH32:AI32 AF32 R32 Y32">
    <cfRule type="cellIs" dxfId="11292" priority="16280" operator="between">
      <formula>0.76</formula>
      <formula>0.95</formula>
    </cfRule>
    <cfRule type="cellIs" dxfId="11291" priority="16281" operator="between">
      <formula>0.51</formula>
      <formula>0.75</formula>
    </cfRule>
    <cfRule type="cellIs" dxfId="11290" priority="16282" operator="greaterThan">
      <formula>1</formula>
    </cfRule>
    <cfRule type="cellIs" dxfId="11289" priority="16283" operator="between">
      <formula>0.95</formula>
      <formula>1</formula>
    </cfRule>
    <cfRule type="cellIs" dxfId="11288" priority="16284" stopIfTrue="1" operator="between">
      <formula>0</formula>
      <formula>0.5</formula>
    </cfRule>
  </conditionalFormatting>
  <conditionalFormatting sqref="T32">
    <cfRule type="cellIs" dxfId="11287" priority="16275" operator="between">
      <formula>0.3751</formula>
      <formula>0.475</formula>
    </cfRule>
    <cfRule type="cellIs" dxfId="11286" priority="16276" operator="between">
      <formula>0.2551</formula>
      <formula>0.375</formula>
    </cfRule>
    <cfRule type="cellIs" dxfId="11285" priority="16277" operator="greaterThan">
      <formula>0.505</formula>
    </cfRule>
    <cfRule type="cellIs" dxfId="11284" priority="16278" operator="between">
      <formula>0.48</formula>
      <formula>0.5</formula>
    </cfRule>
    <cfRule type="cellIs" dxfId="11283" priority="16279" stopIfTrue="1" operator="between">
      <formula>0</formula>
      <formula>0.255</formula>
    </cfRule>
  </conditionalFormatting>
  <conditionalFormatting sqref="AA32:AB32">
    <cfRule type="cellIs" dxfId="11282" priority="16270" operator="between">
      <formula>0.56251</formula>
      <formula>0.7125</formula>
    </cfRule>
    <cfRule type="cellIs" dxfId="11281" priority="16271" operator="between">
      <formula>0.3751</formula>
      <formula>0.5625</formula>
    </cfRule>
    <cfRule type="cellIs" dxfId="11280" priority="16272" operator="greaterThan">
      <formula>0.751</formula>
    </cfRule>
    <cfRule type="cellIs" dxfId="11279" priority="16273" operator="between">
      <formula>0.71251</formula>
      <formula>0.75</formula>
    </cfRule>
    <cfRule type="cellIs" dxfId="11278" priority="16274" stopIfTrue="1" operator="between">
      <formula>0</formula>
      <formula>0.375</formula>
    </cfRule>
  </conditionalFormatting>
  <conditionalFormatting sqref="U32">
    <cfRule type="cellIs" dxfId="11277" priority="16260" operator="between">
      <formula>0.376</formula>
      <formula>0.475</formula>
    </cfRule>
    <cfRule type="cellIs" dxfId="11276" priority="16261" operator="between">
      <formula>0.2551</formula>
      <formula>0.3751</formula>
    </cfRule>
    <cfRule type="cellIs" dxfId="11275" priority="16262" operator="greaterThan">
      <formula>0.505</formula>
    </cfRule>
    <cfRule type="cellIs" dxfId="11274" priority="16263" operator="between">
      <formula>0.48</formula>
      <formula>0.5</formula>
    </cfRule>
    <cfRule type="cellIs" dxfId="11273" priority="16264" stopIfTrue="1" operator="between">
      <formula>0</formula>
      <formula>0.255</formula>
    </cfRule>
  </conditionalFormatting>
  <conditionalFormatting sqref="AG30 AG32">
    <cfRule type="cellIs" dxfId="11272" priority="16240" operator="between">
      <formula>0.76</formula>
      <formula>0.95</formula>
    </cfRule>
    <cfRule type="cellIs" dxfId="11271" priority="16241" operator="between">
      <formula>0.51</formula>
      <formula>0.75</formula>
    </cfRule>
    <cfRule type="cellIs" dxfId="11270" priority="16242" operator="greaterThan">
      <formula>1</formula>
    </cfRule>
    <cfRule type="cellIs" dxfId="11269" priority="16243" operator="between">
      <formula>0.95</formula>
      <formula>1</formula>
    </cfRule>
    <cfRule type="cellIs" dxfId="11268" priority="16244" stopIfTrue="1" operator="between">
      <formula>0</formula>
      <formula>0.5</formula>
    </cfRule>
  </conditionalFormatting>
  <conditionalFormatting sqref="Z30 Z32">
    <cfRule type="cellIs" dxfId="11267" priority="16225" operator="between">
      <formula>0.76</formula>
      <formula>0.95</formula>
    </cfRule>
    <cfRule type="cellIs" dxfId="11266" priority="16226" operator="between">
      <formula>0.51</formula>
      <formula>0.75</formula>
    </cfRule>
    <cfRule type="cellIs" dxfId="11265" priority="16227" operator="greaterThan">
      <formula>1</formula>
    </cfRule>
    <cfRule type="cellIs" dxfId="11264" priority="16228" operator="between">
      <formula>0.95</formula>
      <formula>1</formula>
    </cfRule>
    <cfRule type="cellIs" dxfId="11263" priority="16229" stopIfTrue="1" operator="between">
      <formula>0</formula>
      <formula>0.5</formula>
    </cfRule>
  </conditionalFormatting>
  <conditionalFormatting sqref="AC32">
    <cfRule type="cellIs" dxfId="11262" priority="16220" operator="between">
      <formula>0.56251</formula>
      <formula>0.7125</formula>
    </cfRule>
    <cfRule type="cellIs" dxfId="11261" priority="16221" operator="between">
      <formula>0.3751</formula>
      <formula>0.5625</formula>
    </cfRule>
    <cfRule type="cellIs" dxfId="11260" priority="16222" operator="greaterThan">
      <formula>0.751</formula>
    </cfRule>
    <cfRule type="cellIs" dxfId="11259" priority="16223" operator="between">
      <formula>0.71251</formula>
      <formula>0.75</formula>
    </cfRule>
    <cfRule type="cellIs" dxfId="11258" priority="16224" stopIfTrue="1" operator="between">
      <formula>0</formula>
      <formula>0.375</formula>
    </cfRule>
  </conditionalFormatting>
  <conditionalFormatting sqref="S30 S32">
    <cfRule type="cellIs" dxfId="11257" priority="16215" operator="between">
      <formula>0.76</formula>
      <formula>0.95</formula>
    </cfRule>
    <cfRule type="cellIs" dxfId="11256" priority="16216" operator="between">
      <formula>0.51</formula>
      <formula>0.75</formula>
    </cfRule>
    <cfRule type="cellIs" dxfId="11255" priority="16217" operator="greaterThan">
      <formula>1</formula>
    </cfRule>
    <cfRule type="cellIs" dxfId="11254" priority="16218" operator="between">
      <formula>0.95</formula>
      <formula>1</formula>
    </cfRule>
    <cfRule type="cellIs" dxfId="11253" priority="16219" stopIfTrue="1" operator="between">
      <formula>0</formula>
      <formula>0.5</formula>
    </cfRule>
  </conditionalFormatting>
  <conditionalFormatting sqref="V32">
    <cfRule type="cellIs" dxfId="11252" priority="16210" operator="between">
      <formula>0.376</formula>
      <formula>0.475</formula>
    </cfRule>
    <cfRule type="cellIs" dxfId="11251" priority="16211" operator="between">
      <formula>0.2551</formula>
      <formula>0.3751</formula>
    </cfRule>
    <cfRule type="cellIs" dxfId="11250" priority="16212" operator="greaterThan">
      <formula>0.505</formula>
    </cfRule>
    <cfRule type="cellIs" dxfId="11249" priority="16213" operator="between">
      <formula>0.48</formula>
      <formula>0.5</formula>
    </cfRule>
    <cfRule type="cellIs" dxfId="11248" priority="16214" stopIfTrue="1" operator="between">
      <formula>0</formula>
      <formula>0.255</formula>
    </cfRule>
  </conditionalFormatting>
  <conditionalFormatting sqref="AF61:AI61 R61 Y61">
    <cfRule type="cellIs" dxfId="11247" priority="16185" operator="between">
      <formula>0.76</formula>
      <formula>0.95</formula>
    </cfRule>
    <cfRule type="cellIs" dxfId="11246" priority="16186" operator="between">
      <formula>0.51</formula>
      <formula>0.75</formula>
    </cfRule>
    <cfRule type="cellIs" dxfId="11245" priority="16187" operator="greaterThan">
      <formula>1</formula>
    </cfRule>
    <cfRule type="cellIs" dxfId="11244" priority="16188" operator="between">
      <formula>0.95</formula>
      <formula>1</formula>
    </cfRule>
    <cfRule type="cellIs" dxfId="11243" priority="16189" stopIfTrue="1" operator="between">
      <formula>0</formula>
      <formula>0.5</formula>
    </cfRule>
  </conditionalFormatting>
  <conditionalFormatting sqref="T61">
    <cfRule type="cellIs" dxfId="11242" priority="16180" operator="between">
      <formula>0.3751</formula>
      <formula>0.475</formula>
    </cfRule>
    <cfRule type="cellIs" dxfId="11241" priority="16181" operator="between">
      <formula>0.2551</formula>
      <formula>0.375</formula>
    </cfRule>
    <cfRule type="cellIs" dxfId="11240" priority="16182" operator="greaterThan">
      <formula>0.505</formula>
    </cfRule>
    <cfRule type="cellIs" dxfId="11239" priority="16183" operator="between">
      <formula>0.48</formula>
      <formula>0.5</formula>
    </cfRule>
    <cfRule type="cellIs" dxfId="11238" priority="16184" stopIfTrue="1" operator="between">
      <formula>0</formula>
      <formula>0.255</formula>
    </cfRule>
  </conditionalFormatting>
  <conditionalFormatting sqref="AA61:AB61">
    <cfRule type="cellIs" dxfId="11237" priority="16175" operator="between">
      <formula>0.56251</formula>
      <formula>0.7125</formula>
    </cfRule>
    <cfRule type="cellIs" dxfId="11236" priority="16176" operator="between">
      <formula>0.3751</formula>
      <formula>0.5625</formula>
    </cfRule>
    <cfRule type="cellIs" dxfId="11235" priority="16177" operator="greaterThan">
      <formula>0.751</formula>
    </cfRule>
    <cfRule type="cellIs" dxfId="11234" priority="16178" operator="between">
      <formula>0.71251</formula>
      <formula>0.75</formula>
    </cfRule>
    <cfRule type="cellIs" dxfId="11233" priority="16179" stopIfTrue="1" operator="between">
      <formula>0</formula>
      <formula>0.375</formula>
    </cfRule>
  </conditionalFormatting>
  <conditionalFormatting sqref="U61">
    <cfRule type="cellIs" dxfId="11232" priority="16165" operator="between">
      <formula>0.376</formula>
      <formula>0.475</formula>
    </cfRule>
    <cfRule type="cellIs" dxfId="11231" priority="16166" operator="between">
      <formula>0.2551</formula>
      <formula>0.3751</formula>
    </cfRule>
    <cfRule type="cellIs" dxfId="11230" priority="16167" operator="greaterThan">
      <formula>0.505</formula>
    </cfRule>
    <cfRule type="cellIs" dxfId="11229" priority="16168" operator="between">
      <formula>0.48</formula>
      <formula>0.5</formula>
    </cfRule>
    <cfRule type="cellIs" dxfId="11228" priority="16169" stopIfTrue="1" operator="between">
      <formula>0</formula>
      <formula>0.255</formula>
    </cfRule>
  </conditionalFormatting>
  <conditionalFormatting sqref="Z61">
    <cfRule type="cellIs" dxfId="11227" priority="16145" operator="between">
      <formula>0.76</formula>
      <formula>0.95</formula>
    </cfRule>
    <cfRule type="cellIs" dxfId="11226" priority="16146" operator="between">
      <formula>0.51</formula>
      <formula>0.75</formula>
    </cfRule>
    <cfRule type="cellIs" dxfId="11225" priority="16147" operator="greaterThan">
      <formula>1</formula>
    </cfRule>
    <cfRule type="cellIs" dxfId="11224" priority="16148" operator="between">
      <formula>0.95</formula>
      <formula>1</formula>
    </cfRule>
    <cfRule type="cellIs" dxfId="11223" priority="16149" stopIfTrue="1" operator="between">
      <formula>0</formula>
      <formula>0.5</formula>
    </cfRule>
  </conditionalFormatting>
  <conditionalFormatting sqref="AC61">
    <cfRule type="cellIs" dxfId="11222" priority="16140" operator="between">
      <formula>0.56251</formula>
      <formula>0.7125</formula>
    </cfRule>
    <cfRule type="cellIs" dxfId="11221" priority="16141" operator="between">
      <formula>0.3751</formula>
      <formula>0.5625</formula>
    </cfRule>
    <cfRule type="cellIs" dxfId="11220" priority="16142" operator="greaterThan">
      <formula>0.751</formula>
    </cfRule>
    <cfRule type="cellIs" dxfId="11219" priority="16143" operator="between">
      <formula>0.71251</formula>
      <formula>0.75</formula>
    </cfRule>
    <cfRule type="cellIs" dxfId="11218" priority="16144" stopIfTrue="1" operator="between">
      <formula>0</formula>
      <formula>0.375</formula>
    </cfRule>
  </conditionalFormatting>
  <conditionalFormatting sqref="S61">
    <cfRule type="cellIs" dxfId="11217" priority="16135" operator="between">
      <formula>0.76</formula>
      <formula>0.95</formula>
    </cfRule>
    <cfRule type="cellIs" dxfId="11216" priority="16136" operator="between">
      <formula>0.51</formula>
      <formula>0.75</formula>
    </cfRule>
    <cfRule type="cellIs" dxfId="11215" priority="16137" operator="greaterThan">
      <formula>1</formula>
    </cfRule>
    <cfRule type="cellIs" dxfId="11214" priority="16138" operator="between">
      <formula>0.95</formula>
      <formula>1</formula>
    </cfRule>
    <cfRule type="cellIs" dxfId="11213" priority="16139" stopIfTrue="1" operator="between">
      <formula>0</formula>
      <formula>0.5</formula>
    </cfRule>
  </conditionalFormatting>
  <conditionalFormatting sqref="V61">
    <cfRule type="cellIs" dxfId="11212" priority="16130" operator="between">
      <formula>0.376</formula>
      <formula>0.475</formula>
    </cfRule>
    <cfRule type="cellIs" dxfId="11211" priority="16131" operator="between">
      <formula>0.2551</formula>
      <formula>0.3751</formula>
    </cfRule>
    <cfRule type="cellIs" dxfId="11210" priority="16132" operator="greaterThan">
      <formula>0.505</formula>
    </cfRule>
    <cfRule type="cellIs" dxfId="11209" priority="16133" operator="between">
      <formula>0.48</formula>
      <formula>0.5</formula>
    </cfRule>
    <cfRule type="cellIs" dxfId="11208" priority="16134" stopIfTrue="1" operator="between">
      <formula>0</formula>
      <formula>0.255</formula>
    </cfRule>
  </conditionalFormatting>
  <conditionalFormatting sqref="AF66:AI66 R66 Y66">
    <cfRule type="cellIs" dxfId="11207" priority="16125" operator="between">
      <formula>0.76</formula>
      <formula>0.95</formula>
    </cfRule>
    <cfRule type="cellIs" dxfId="11206" priority="16126" operator="between">
      <formula>0.51</formula>
      <formula>0.75</formula>
    </cfRule>
    <cfRule type="cellIs" dxfId="11205" priority="16127" operator="greaterThan">
      <formula>1</formula>
    </cfRule>
    <cfRule type="cellIs" dxfId="11204" priority="16128" operator="between">
      <formula>0.95</formula>
      <formula>1</formula>
    </cfRule>
    <cfRule type="cellIs" dxfId="11203" priority="16129" stopIfTrue="1" operator="between">
      <formula>0</formula>
      <formula>0.5</formula>
    </cfRule>
  </conditionalFormatting>
  <conditionalFormatting sqref="T66">
    <cfRule type="cellIs" dxfId="11202" priority="16120" operator="between">
      <formula>0.3751</formula>
      <formula>0.475</formula>
    </cfRule>
    <cfRule type="cellIs" dxfId="11201" priority="16121" operator="between">
      <formula>0.2551</formula>
      <formula>0.375</formula>
    </cfRule>
    <cfRule type="cellIs" dxfId="11200" priority="16122" operator="greaterThan">
      <formula>0.505</formula>
    </cfRule>
    <cfRule type="cellIs" dxfId="11199" priority="16123" operator="between">
      <formula>0.48</formula>
      <formula>0.5</formula>
    </cfRule>
    <cfRule type="cellIs" dxfId="11198" priority="16124" stopIfTrue="1" operator="between">
      <formula>0</formula>
      <formula>0.255</formula>
    </cfRule>
  </conditionalFormatting>
  <conditionalFormatting sqref="AA66:AB66">
    <cfRule type="cellIs" dxfId="11197" priority="16115" operator="between">
      <formula>0.56251</formula>
      <formula>0.7125</formula>
    </cfRule>
    <cfRule type="cellIs" dxfId="11196" priority="16116" operator="between">
      <formula>0.3751</formula>
      <formula>0.5625</formula>
    </cfRule>
    <cfRule type="cellIs" dxfId="11195" priority="16117" operator="greaterThan">
      <formula>0.751</formula>
    </cfRule>
    <cfRule type="cellIs" dxfId="11194" priority="16118" operator="between">
      <formula>0.71251</formula>
      <formula>0.75</formula>
    </cfRule>
    <cfRule type="cellIs" dxfId="11193" priority="16119" stopIfTrue="1" operator="between">
      <formula>0</formula>
      <formula>0.375</formula>
    </cfRule>
  </conditionalFormatting>
  <conditionalFormatting sqref="U66">
    <cfRule type="cellIs" dxfId="11192" priority="16105" operator="between">
      <formula>0.376</formula>
      <formula>0.475</formula>
    </cfRule>
    <cfRule type="cellIs" dxfId="11191" priority="16106" operator="between">
      <formula>0.2551</formula>
      <formula>0.3751</formula>
    </cfRule>
    <cfRule type="cellIs" dxfId="11190" priority="16107" operator="greaterThan">
      <formula>0.505</formula>
    </cfRule>
    <cfRule type="cellIs" dxfId="11189" priority="16108" operator="between">
      <formula>0.48</formula>
      <formula>0.5</formula>
    </cfRule>
    <cfRule type="cellIs" dxfId="11188" priority="16109" stopIfTrue="1" operator="between">
      <formula>0</formula>
      <formula>0.255</formula>
    </cfRule>
  </conditionalFormatting>
  <conditionalFormatting sqref="Z66">
    <cfRule type="cellIs" dxfId="11187" priority="16085" operator="between">
      <formula>0.76</formula>
      <formula>0.95</formula>
    </cfRule>
    <cfRule type="cellIs" dxfId="11186" priority="16086" operator="between">
      <formula>0.51</formula>
      <formula>0.75</formula>
    </cfRule>
    <cfRule type="cellIs" dxfId="11185" priority="16087" operator="greaterThan">
      <formula>1</formula>
    </cfRule>
    <cfRule type="cellIs" dxfId="11184" priority="16088" operator="between">
      <formula>0.95</formula>
      <formula>1</formula>
    </cfRule>
    <cfRule type="cellIs" dxfId="11183" priority="16089" stopIfTrue="1" operator="between">
      <formula>0</formula>
      <formula>0.5</formula>
    </cfRule>
  </conditionalFormatting>
  <conditionalFormatting sqref="AC66">
    <cfRule type="cellIs" dxfId="11182" priority="16080" operator="between">
      <formula>0.56251</formula>
      <formula>0.7125</formula>
    </cfRule>
    <cfRule type="cellIs" dxfId="11181" priority="16081" operator="between">
      <formula>0.3751</formula>
      <formula>0.5625</formula>
    </cfRule>
    <cfRule type="cellIs" dxfId="11180" priority="16082" operator="greaterThan">
      <formula>0.751</formula>
    </cfRule>
    <cfRule type="cellIs" dxfId="11179" priority="16083" operator="between">
      <formula>0.71251</formula>
      <formula>0.75</formula>
    </cfRule>
    <cfRule type="cellIs" dxfId="11178" priority="16084" stopIfTrue="1" operator="between">
      <formula>0</formula>
      <formula>0.375</formula>
    </cfRule>
  </conditionalFormatting>
  <conditionalFormatting sqref="S66">
    <cfRule type="cellIs" dxfId="11177" priority="16075" operator="between">
      <formula>0.76</formula>
      <formula>0.95</formula>
    </cfRule>
    <cfRule type="cellIs" dxfId="11176" priority="16076" operator="between">
      <formula>0.51</formula>
      <formula>0.75</formula>
    </cfRule>
    <cfRule type="cellIs" dxfId="11175" priority="16077" operator="greaterThan">
      <formula>1</formula>
    </cfRule>
    <cfRule type="cellIs" dxfId="11174" priority="16078" operator="between">
      <formula>0.95</formula>
      <formula>1</formula>
    </cfRule>
    <cfRule type="cellIs" dxfId="11173" priority="16079" stopIfTrue="1" operator="between">
      <formula>0</formula>
      <formula>0.5</formula>
    </cfRule>
  </conditionalFormatting>
  <conditionalFormatting sqref="V66">
    <cfRule type="cellIs" dxfId="11172" priority="16070" operator="between">
      <formula>0.376</formula>
      <formula>0.475</formula>
    </cfRule>
    <cfRule type="cellIs" dxfId="11171" priority="16071" operator="between">
      <formula>0.2551</formula>
      <formula>0.3751</formula>
    </cfRule>
    <cfRule type="cellIs" dxfId="11170" priority="16072" operator="greaterThan">
      <formula>0.505</formula>
    </cfRule>
    <cfRule type="cellIs" dxfId="11169" priority="16073" operator="between">
      <formula>0.48</formula>
      <formula>0.5</formula>
    </cfRule>
    <cfRule type="cellIs" dxfId="11168" priority="16074" stopIfTrue="1" operator="between">
      <formula>0</formula>
      <formula>0.255</formula>
    </cfRule>
  </conditionalFormatting>
  <conditionalFormatting sqref="V174">
    <cfRule type="cellIs" dxfId="11167" priority="15808" operator="between">
      <formula>0.376</formula>
      <formula>0.475</formula>
    </cfRule>
    <cfRule type="cellIs" dxfId="11166" priority="15809" operator="between">
      <formula>0.2551</formula>
      <formula>0.3751</formula>
    </cfRule>
    <cfRule type="cellIs" dxfId="11165" priority="15810" operator="greaterThan">
      <formula>0.505</formula>
    </cfRule>
    <cfRule type="cellIs" dxfId="11164" priority="15811" operator="between">
      <formula>0.48</formula>
      <formula>0.5</formula>
    </cfRule>
    <cfRule type="cellIs" dxfId="11163" priority="15812" stopIfTrue="1" operator="between">
      <formula>0</formula>
      <formula>0.255</formula>
    </cfRule>
  </conditionalFormatting>
  <conditionalFormatting sqref="S174">
    <cfRule type="cellIs" dxfId="11162" priority="15798" operator="between">
      <formula>0.76</formula>
      <formula>0.95</formula>
    </cfRule>
    <cfRule type="cellIs" dxfId="11161" priority="15799" operator="between">
      <formula>0.51</formula>
      <formula>0.75</formula>
    </cfRule>
    <cfRule type="cellIs" dxfId="11160" priority="15800" operator="greaterThan">
      <formula>1</formula>
    </cfRule>
    <cfRule type="cellIs" dxfId="11159" priority="15801" operator="between">
      <formula>0.95</formula>
      <formula>1</formula>
    </cfRule>
    <cfRule type="cellIs" dxfId="11158" priority="15802" stopIfTrue="1" operator="between">
      <formula>0</formula>
      <formula>0.5</formula>
    </cfRule>
  </conditionalFormatting>
  <conditionalFormatting sqref="S238">
    <cfRule type="cellIs" dxfId="11157" priority="15783" operator="between">
      <formula>0.76</formula>
      <formula>0.95</formula>
    </cfRule>
    <cfRule type="cellIs" dxfId="11156" priority="15784" operator="between">
      <formula>0.51</formula>
      <formula>0.75</formula>
    </cfRule>
    <cfRule type="cellIs" dxfId="11155" priority="15785" operator="greaterThan">
      <formula>1</formula>
    </cfRule>
    <cfRule type="cellIs" dxfId="11154" priority="15786" operator="between">
      <formula>0.95</formula>
      <formula>1</formula>
    </cfRule>
    <cfRule type="cellIs" dxfId="11153" priority="15787" stopIfTrue="1" operator="between">
      <formula>0</formula>
      <formula>0.5</formula>
    </cfRule>
  </conditionalFormatting>
  <conditionalFormatting sqref="V238">
    <cfRule type="cellIs" dxfId="11152" priority="15778" operator="between">
      <formula>0.376</formula>
      <formula>0.475</formula>
    </cfRule>
    <cfRule type="cellIs" dxfId="11151" priority="15779" operator="between">
      <formula>0.2551</formula>
      <formula>0.3751</formula>
    </cfRule>
    <cfRule type="cellIs" dxfId="11150" priority="15780" operator="greaterThan">
      <formula>0.505</formula>
    </cfRule>
    <cfRule type="cellIs" dxfId="11149" priority="15781" operator="between">
      <formula>0.48</formula>
      <formula>0.5</formula>
    </cfRule>
    <cfRule type="cellIs" dxfId="11148" priority="15782" stopIfTrue="1" operator="between">
      <formula>0</formula>
      <formula>0.255</formula>
    </cfRule>
  </conditionalFormatting>
  <conditionalFormatting sqref="R175:R176 Y175:Z176 AF175:AI176">
    <cfRule type="cellIs" dxfId="11147" priority="15742" operator="between">
      <formula>0.76</formula>
      <formula>0.95</formula>
    </cfRule>
    <cfRule type="cellIs" dxfId="11146" priority="15743" operator="between">
      <formula>0.51</formula>
      <formula>0.75</formula>
    </cfRule>
    <cfRule type="cellIs" dxfId="11145" priority="15744" operator="greaterThan">
      <formula>1</formula>
    </cfRule>
    <cfRule type="cellIs" dxfId="11144" priority="15745" operator="between">
      <formula>0.95</formula>
      <formula>1</formula>
    </cfRule>
    <cfRule type="cellIs" dxfId="11143" priority="15746" stopIfTrue="1" operator="between">
      <formula>0</formula>
      <formula>0.5</formula>
    </cfRule>
  </conditionalFormatting>
  <conditionalFormatting sqref="T175:T176">
    <cfRule type="cellIs" dxfId="11142" priority="15737" operator="between">
      <formula>0.3751</formula>
      <formula>0.475</formula>
    </cfRule>
    <cfRule type="cellIs" dxfId="11141" priority="15738" operator="between">
      <formula>0.2551</formula>
      <formula>0.375</formula>
    </cfRule>
    <cfRule type="cellIs" dxfId="11140" priority="15739" operator="greaterThan">
      <formula>0.505</formula>
    </cfRule>
    <cfRule type="cellIs" dxfId="11139" priority="15740" operator="between">
      <formula>0.48</formula>
      <formula>0.5</formula>
    </cfRule>
    <cfRule type="cellIs" dxfId="11138" priority="15741" stopIfTrue="1" operator="between">
      <formula>0</formula>
      <formula>0.255</formula>
    </cfRule>
  </conditionalFormatting>
  <conditionalFormatting sqref="AA175:AC176">
    <cfRule type="cellIs" dxfId="11137" priority="15732" operator="between">
      <formula>0.56251</formula>
      <formula>0.7125</formula>
    </cfRule>
    <cfRule type="cellIs" dxfId="11136" priority="15733" operator="between">
      <formula>0.3751</formula>
      <formula>0.5625</formula>
    </cfRule>
    <cfRule type="cellIs" dxfId="11135" priority="15734" operator="greaterThan">
      <formula>0.751</formula>
    </cfRule>
    <cfRule type="cellIs" dxfId="11134" priority="15735" operator="between">
      <formula>0.71251</formula>
      <formula>0.75</formula>
    </cfRule>
    <cfRule type="cellIs" dxfId="11133" priority="15736" stopIfTrue="1" operator="between">
      <formula>0</formula>
      <formula>0.375</formula>
    </cfRule>
  </conditionalFormatting>
  <conditionalFormatting sqref="U175:U176">
    <cfRule type="cellIs" dxfId="11132" priority="15727" operator="between">
      <formula>0.376</formula>
      <formula>0.475</formula>
    </cfRule>
    <cfRule type="cellIs" dxfId="11131" priority="15728" operator="between">
      <formula>0.2551</formula>
      <formula>0.3751</formula>
    </cfRule>
    <cfRule type="cellIs" dxfId="11130" priority="15729" operator="greaterThan">
      <formula>0.505</formula>
    </cfRule>
    <cfRule type="cellIs" dxfId="11129" priority="15730" operator="between">
      <formula>0.48</formula>
      <formula>0.5</formula>
    </cfRule>
    <cfRule type="cellIs" dxfId="11128" priority="15731" stopIfTrue="1" operator="between">
      <formula>0</formula>
      <formula>0.255</formula>
    </cfRule>
  </conditionalFormatting>
  <conditionalFormatting sqref="V175:V176">
    <cfRule type="cellIs" dxfId="11127" priority="15709" operator="between">
      <formula>0.376</formula>
      <formula>0.475</formula>
    </cfRule>
    <cfRule type="cellIs" dxfId="11126" priority="15710" operator="between">
      <formula>0.2551</formula>
      <formula>0.3751</formula>
    </cfRule>
    <cfRule type="cellIs" dxfId="11125" priority="15711" operator="greaterThan">
      <formula>0.505</formula>
    </cfRule>
    <cfRule type="cellIs" dxfId="11124" priority="15712" operator="between">
      <formula>0.48</formula>
      <formula>0.5</formula>
    </cfRule>
    <cfRule type="cellIs" dxfId="11123" priority="15713" stopIfTrue="1" operator="between">
      <formula>0</formula>
      <formula>0.255</formula>
    </cfRule>
  </conditionalFormatting>
  <conditionalFormatting sqref="S175:S176">
    <cfRule type="cellIs" dxfId="11122" priority="15704" operator="between">
      <formula>0.76</formula>
      <formula>0.95</formula>
    </cfRule>
    <cfRule type="cellIs" dxfId="11121" priority="15705" operator="between">
      <formula>0.51</formula>
      <formula>0.75</formula>
    </cfRule>
    <cfRule type="cellIs" dxfId="11120" priority="15706" operator="greaterThan">
      <formula>1</formula>
    </cfRule>
    <cfRule type="cellIs" dxfId="11119" priority="15707" operator="between">
      <formula>0.95</formula>
      <formula>1</formula>
    </cfRule>
    <cfRule type="cellIs" dxfId="11118" priority="15708" stopIfTrue="1" operator="between">
      <formula>0</formula>
      <formula>0.5</formula>
    </cfRule>
  </conditionalFormatting>
  <conditionalFormatting sqref="R177 Y177:Z177 AF177:AI177">
    <cfRule type="cellIs" dxfId="11117" priority="15699" operator="between">
      <formula>0.76</formula>
      <formula>0.95</formula>
    </cfRule>
    <cfRule type="cellIs" dxfId="11116" priority="15700" operator="between">
      <formula>0.51</formula>
      <formula>0.75</formula>
    </cfRule>
    <cfRule type="cellIs" dxfId="11115" priority="15701" operator="greaterThan">
      <formula>1</formula>
    </cfRule>
    <cfRule type="cellIs" dxfId="11114" priority="15702" operator="between">
      <formula>0.95</formula>
      <formula>1</formula>
    </cfRule>
    <cfRule type="cellIs" dxfId="11113" priority="15703" stopIfTrue="1" operator="between">
      <formula>0</formula>
      <formula>0.5</formula>
    </cfRule>
  </conditionalFormatting>
  <conditionalFormatting sqref="T177">
    <cfRule type="cellIs" dxfId="11112" priority="15694" operator="between">
      <formula>0.3751</formula>
      <formula>0.475</formula>
    </cfRule>
    <cfRule type="cellIs" dxfId="11111" priority="15695" operator="between">
      <formula>0.2551</formula>
      <formula>0.375</formula>
    </cfRule>
    <cfRule type="cellIs" dxfId="11110" priority="15696" operator="greaterThan">
      <formula>0.505</formula>
    </cfRule>
    <cfRule type="cellIs" dxfId="11109" priority="15697" operator="between">
      <formula>0.48</formula>
      <formula>0.5</formula>
    </cfRule>
    <cfRule type="cellIs" dxfId="11108" priority="15698" stopIfTrue="1" operator="between">
      <formula>0</formula>
      <formula>0.255</formula>
    </cfRule>
  </conditionalFormatting>
  <conditionalFormatting sqref="AA177:AC177">
    <cfRule type="cellIs" dxfId="11107" priority="15689" operator="between">
      <formula>0.56251</formula>
      <formula>0.7125</formula>
    </cfRule>
    <cfRule type="cellIs" dxfId="11106" priority="15690" operator="between">
      <formula>0.3751</formula>
      <formula>0.5625</formula>
    </cfRule>
    <cfRule type="cellIs" dxfId="11105" priority="15691" operator="greaterThan">
      <formula>0.751</formula>
    </cfRule>
    <cfRule type="cellIs" dxfId="11104" priority="15692" operator="between">
      <formula>0.71251</formula>
      <formula>0.75</formula>
    </cfRule>
    <cfRule type="cellIs" dxfId="11103" priority="15693" stopIfTrue="1" operator="between">
      <formula>0</formula>
      <formula>0.375</formula>
    </cfRule>
  </conditionalFormatting>
  <conditionalFormatting sqref="U177">
    <cfRule type="cellIs" dxfId="11102" priority="15684" operator="between">
      <formula>0.376</formula>
      <formula>0.475</formula>
    </cfRule>
    <cfRule type="cellIs" dxfId="11101" priority="15685" operator="between">
      <formula>0.2551</formula>
      <formula>0.3751</formula>
    </cfRule>
    <cfRule type="cellIs" dxfId="11100" priority="15686" operator="greaterThan">
      <formula>0.505</formula>
    </cfRule>
    <cfRule type="cellIs" dxfId="11099" priority="15687" operator="between">
      <formula>0.48</formula>
      <formula>0.5</formula>
    </cfRule>
    <cfRule type="cellIs" dxfId="11098" priority="15688" stopIfTrue="1" operator="between">
      <formula>0</formula>
      <formula>0.255</formula>
    </cfRule>
  </conditionalFormatting>
  <conditionalFormatting sqref="V177">
    <cfRule type="cellIs" dxfId="11097" priority="15666" operator="between">
      <formula>0.376</formula>
      <formula>0.475</formula>
    </cfRule>
    <cfRule type="cellIs" dxfId="11096" priority="15667" operator="between">
      <formula>0.2551</formula>
      <formula>0.3751</formula>
    </cfRule>
    <cfRule type="cellIs" dxfId="11095" priority="15668" operator="greaterThan">
      <formula>0.505</formula>
    </cfRule>
    <cfRule type="cellIs" dxfId="11094" priority="15669" operator="between">
      <formula>0.48</formula>
      <formula>0.5</formula>
    </cfRule>
    <cfRule type="cellIs" dxfId="11093" priority="15670" stopIfTrue="1" operator="between">
      <formula>0</formula>
      <formula>0.255</formula>
    </cfRule>
  </conditionalFormatting>
  <conditionalFormatting sqref="S177">
    <cfRule type="cellIs" dxfId="11092" priority="15661" operator="between">
      <formula>0.76</formula>
      <formula>0.95</formula>
    </cfRule>
    <cfRule type="cellIs" dxfId="11091" priority="15662" operator="between">
      <formula>0.51</formula>
      <formula>0.75</formula>
    </cfRule>
    <cfRule type="cellIs" dxfId="11090" priority="15663" operator="greaterThan">
      <formula>1</formula>
    </cfRule>
    <cfRule type="cellIs" dxfId="11089" priority="15664" operator="between">
      <formula>0.95</formula>
      <formula>1</formula>
    </cfRule>
    <cfRule type="cellIs" dxfId="11088" priority="15665" stopIfTrue="1" operator="between">
      <formula>0</formula>
      <formula>0.5</formula>
    </cfRule>
  </conditionalFormatting>
  <conditionalFormatting sqref="R179 Y179:Z179 AF179:AI179 AF181 AH181:AI181 Y181:Z181 R181">
    <cfRule type="cellIs" dxfId="11087" priority="15656" operator="between">
      <formula>0.76</formula>
      <formula>0.95</formula>
    </cfRule>
    <cfRule type="cellIs" dxfId="11086" priority="15657" operator="between">
      <formula>0.51</formula>
      <formula>0.75</formula>
    </cfRule>
    <cfRule type="cellIs" dxfId="11085" priority="15658" operator="greaterThan">
      <formula>1</formula>
    </cfRule>
    <cfRule type="cellIs" dxfId="11084" priority="15659" operator="between">
      <formula>0.95</formula>
      <formula>1</formula>
    </cfRule>
    <cfRule type="cellIs" dxfId="11083" priority="15660" stopIfTrue="1" operator="between">
      <formula>0</formula>
      <formula>0.5</formula>
    </cfRule>
  </conditionalFormatting>
  <conditionalFormatting sqref="T179 T181">
    <cfRule type="cellIs" dxfId="11082" priority="15651" operator="between">
      <formula>0.3751</formula>
      <formula>0.475</formula>
    </cfRule>
    <cfRule type="cellIs" dxfId="11081" priority="15652" operator="between">
      <formula>0.2551</formula>
      <formula>0.375</formula>
    </cfRule>
    <cfRule type="cellIs" dxfId="11080" priority="15653" operator="greaterThan">
      <formula>0.505</formula>
    </cfRule>
    <cfRule type="cellIs" dxfId="11079" priority="15654" operator="between">
      <formula>0.48</formula>
      <formula>0.5</formula>
    </cfRule>
    <cfRule type="cellIs" dxfId="11078" priority="15655" stopIfTrue="1" operator="between">
      <formula>0</formula>
      <formula>0.255</formula>
    </cfRule>
  </conditionalFormatting>
  <conditionalFormatting sqref="AA179:AC179 AA181:AC181">
    <cfRule type="cellIs" dxfId="11077" priority="15646" operator="between">
      <formula>0.56251</formula>
      <formula>0.7125</formula>
    </cfRule>
    <cfRule type="cellIs" dxfId="11076" priority="15647" operator="between">
      <formula>0.3751</formula>
      <formula>0.5625</formula>
    </cfRule>
    <cfRule type="cellIs" dxfId="11075" priority="15648" operator="greaterThan">
      <formula>0.751</formula>
    </cfRule>
    <cfRule type="cellIs" dxfId="11074" priority="15649" operator="between">
      <formula>0.71251</formula>
      <formula>0.75</formula>
    </cfRule>
    <cfRule type="cellIs" dxfId="11073" priority="15650" stopIfTrue="1" operator="between">
      <formula>0</formula>
      <formula>0.375</formula>
    </cfRule>
  </conditionalFormatting>
  <conditionalFormatting sqref="U179 U181">
    <cfRule type="cellIs" dxfId="11072" priority="15641" operator="between">
      <formula>0.376</formula>
      <formula>0.475</formula>
    </cfRule>
    <cfRule type="cellIs" dxfId="11071" priority="15642" operator="between">
      <formula>0.2551</formula>
      <formula>0.3751</formula>
    </cfRule>
    <cfRule type="cellIs" dxfId="11070" priority="15643" operator="greaterThan">
      <formula>0.505</formula>
    </cfRule>
    <cfRule type="cellIs" dxfId="11069" priority="15644" operator="between">
      <formula>0.48</formula>
      <formula>0.5</formula>
    </cfRule>
    <cfRule type="cellIs" dxfId="11068" priority="15645" stopIfTrue="1" operator="between">
      <formula>0</formula>
      <formula>0.255</formula>
    </cfRule>
  </conditionalFormatting>
  <conditionalFormatting sqref="V179">
    <cfRule type="cellIs" dxfId="11067" priority="15623" operator="between">
      <formula>0.376</formula>
      <formula>0.475</formula>
    </cfRule>
    <cfRule type="cellIs" dxfId="11066" priority="15624" operator="between">
      <formula>0.2551</formula>
      <formula>0.3751</formula>
    </cfRule>
    <cfRule type="cellIs" dxfId="11065" priority="15625" operator="greaterThan">
      <formula>0.505</formula>
    </cfRule>
    <cfRule type="cellIs" dxfId="11064" priority="15626" operator="between">
      <formula>0.48</formula>
      <formula>0.5</formula>
    </cfRule>
    <cfRule type="cellIs" dxfId="11063" priority="15627" stopIfTrue="1" operator="between">
      <formula>0</formula>
      <formula>0.255</formula>
    </cfRule>
  </conditionalFormatting>
  <conditionalFormatting sqref="S179">
    <cfRule type="cellIs" dxfId="11062" priority="15618" operator="between">
      <formula>0.76</formula>
      <formula>0.95</formula>
    </cfRule>
    <cfRule type="cellIs" dxfId="11061" priority="15619" operator="between">
      <formula>0.51</formula>
      <formula>0.75</formula>
    </cfRule>
    <cfRule type="cellIs" dxfId="11060" priority="15620" operator="greaterThan">
      <formula>1</formula>
    </cfRule>
    <cfRule type="cellIs" dxfId="11059" priority="15621" operator="between">
      <formula>0.95</formula>
      <formula>1</formula>
    </cfRule>
    <cfRule type="cellIs" dxfId="11058" priority="15622" stopIfTrue="1" operator="between">
      <formula>0</formula>
      <formula>0.5</formula>
    </cfRule>
  </conditionalFormatting>
  <conditionalFormatting sqref="AF41 R41 Y41 AH41:AI41">
    <cfRule type="cellIs" dxfId="11057" priority="15613" operator="between">
      <formula>0.76</formula>
      <formula>0.95</formula>
    </cfRule>
    <cfRule type="cellIs" dxfId="11056" priority="15614" operator="between">
      <formula>0.51</formula>
      <formula>0.75</formula>
    </cfRule>
    <cfRule type="cellIs" dxfId="11055" priority="15615" operator="greaterThan">
      <formula>1</formula>
    </cfRule>
    <cfRule type="cellIs" dxfId="11054" priority="15616" operator="between">
      <formula>0.95</formula>
      <formula>1</formula>
    </cfRule>
    <cfRule type="cellIs" dxfId="11053" priority="15617" stopIfTrue="1" operator="between">
      <formula>0</formula>
      <formula>0.5</formula>
    </cfRule>
  </conditionalFormatting>
  <conditionalFormatting sqref="T41">
    <cfRule type="cellIs" dxfId="11052" priority="15608" operator="between">
      <formula>0.3751</formula>
      <formula>0.475</formula>
    </cfRule>
    <cfRule type="cellIs" dxfId="11051" priority="15609" operator="between">
      <formula>0.2551</formula>
      <formula>0.375</formula>
    </cfRule>
    <cfRule type="cellIs" dxfId="11050" priority="15610" operator="greaterThan">
      <formula>0.505</formula>
    </cfRule>
    <cfRule type="cellIs" dxfId="11049" priority="15611" operator="between">
      <formula>0.48</formula>
      <formula>0.5</formula>
    </cfRule>
    <cfRule type="cellIs" dxfId="11048" priority="15612" stopIfTrue="1" operator="between">
      <formula>0</formula>
      <formula>0.255</formula>
    </cfRule>
  </conditionalFormatting>
  <conditionalFormatting sqref="AA41:AB41">
    <cfRule type="cellIs" dxfId="11047" priority="15603" operator="between">
      <formula>0.56251</formula>
      <formula>0.7125</formula>
    </cfRule>
    <cfRule type="cellIs" dxfId="11046" priority="15604" operator="between">
      <formula>0.3751</formula>
      <formula>0.5625</formula>
    </cfRule>
    <cfRule type="cellIs" dxfId="11045" priority="15605" operator="greaterThan">
      <formula>0.751</formula>
    </cfRule>
    <cfRule type="cellIs" dxfId="11044" priority="15606" operator="between">
      <formula>0.71251</formula>
      <formula>0.75</formula>
    </cfRule>
    <cfRule type="cellIs" dxfId="11043" priority="15607" stopIfTrue="1" operator="between">
      <formula>0</formula>
      <formula>0.375</formula>
    </cfRule>
  </conditionalFormatting>
  <conditionalFormatting sqref="U41">
    <cfRule type="cellIs" dxfId="11042" priority="15593" operator="between">
      <formula>0.376</formula>
      <formula>0.475</formula>
    </cfRule>
    <cfRule type="cellIs" dxfId="11041" priority="15594" operator="between">
      <formula>0.2551</formula>
      <formula>0.3751</formula>
    </cfRule>
    <cfRule type="cellIs" dxfId="11040" priority="15595" operator="greaterThan">
      <formula>0.505</formula>
    </cfRule>
    <cfRule type="cellIs" dxfId="11039" priority="15596" operator="between">
      <formula>0.48</formula>
      <formula>0.5</formula>
    </cfRule>
    <cfRule type="cellIs" dxfId="11038" priority="15597" stopIfTrue="1" operator="between">
      <formula>0</formula>
      <formula>0.255</formula>
    </cfRule>
  </conditionalFormatting>
  <conditionalFormatting sqref="Z41">
    <cfRule type="cellIs" dxfId="11037" priority="15573" operator="between">
      <formula>0.76</formula>
      <formula>0.95</formula>
    </cfRule>
    <cfRule type="cellIs" dxfId="11036" priority="15574" operator="between">
      <formula>0.51</formula>
      <formula>0.75</formula>
    </cfRule>
    <cfRule type="cellIs" dxfId="11035" priority="15575" operator="greaterThan">
      <formula>1</formula>
    </cfRule>
    <cfRule type="cellIs" dxfId="11034" priority="15576" operator="between">
      <formula>0.95</formula>
      <formula>1</formula>
    </cfRule>
    <cfRule type="cellIs" dxfId="11033" priority="15577" stopIfTrue="1" operator="between">
      <formula>0</formula>
      <formula>0.5</formula>
    </cfRule>
  </conditionalFormatting>
  <conditionalFormatting sqref="AC41">
    <cfRule type="cellIs" dxfId="11032" priority="15568" operator="between">
      <formula>0.56251</formula>
      <formula>0.7125</formula>
    </cfRule>
    <cfRule type="cellIs" dxfId="11031" priority="15569" operator="between">
      <formula>0.3751</formula>
      <formula>0.5625</formula>
    </cfRule>
    <cfRule type="cellIs" dxfId="11030" priority="15570" operator="greaterThan">
      <formula>0.751</formula>
    </cfRule>
    <cfRule type="cellIs" dxfId="11029" priority="15571" operator="between">
      <formula>0.71251</formula>
      <formula>0.75</formula>
    </cfRule>
    <cfRule type="cellIs" dxfId="11028" priority="15572" stopIfTrue="1" operator="between">
      <formula>0</formula>
      <formula>0.375</formula>
    </cfRule>
  </conditionalFormatting>
  <conditionalFormatting sqref="S41">
    <cfRule type="cellIs" dxfId="11027" priority="15563" operator="between">
      <formula>0.76</formula>
      <formula>0.95</formula>
    </cfRule>
    <cfRule type="cellIs" dxfId="11026" priority="15564" operator="between">
      <formula>0.51</formula>
      <formula>0.75</formula>
    </cfRule>
    <cfRule type="cellIs" dxfId="11025" priority="15565" operator="greaterThan">
      <formula>1</formula>
    </cfRule>
    <cfRule type="cellIs" dxfId="11024" priority="15566" operator="between">
      <formula>0.95</formula>
      <formula>1</formula>
    </cfRule>
    <cfRule type="cellIs" dxfId="11023" priority="15567" stopIfTrue="1" operator="between">
      <formula>0</formula>
      <formula>0.5</formula>
    </cfRule>
  </conditionalFormatting>
  <conditionalFormatting sqref="V41">
    <cfRule type="cellIs" dxfId="11022" priority="15558" operator="between">
      <formula>0.376</formula>
      <formula>0.475</formula>
    </cfRule>
    <cfRule type="cellIs" dxfId="11021" priority="15559" operator="between">
      <formula>0.2551</formula>
      <formula>0.3751</formula>
    </cfRule>
    <cfRule type="cellIs" dxfId="11020" priority="15560" operator="greaterThan">
      <formula>0.505</formula>
    </cfRule>
    <cfRule type="cellIs" dxfId="11019" priority="15561" operator="between">
      <formula>0.48</formula>
      <formula>0.5</formula>
    </cfRule>
    <cfRule type="cellIs" dxfId="11018" priority="15562" stopIfTrue="1" operator="between">
      <formula>0</formula>
      <formula>0.255</formula>
    </cfRule>
  </conditionalFormatting>
  <conditionalFormatting sqref="AG41">
    <cfRule type="cellIs" dxfId="11017" priority="15553" operator="between">
      <formula>0.76</formula>
      <formula>0.95</formula>
    </cfRule>
    <cfRule type="cellIs" dxfId="11016" priority="15554" operator="between">
      <formula>0.51</formula>
      <formula>0.75</formula>
    </cfRule>
    <cfRule type="cellIs" dxfId="11015" priority="15555" operator="greaterThan">
      <formula>1</formula>
    </cfRule>
    <cfRule type="cellIs" dxfId="11014" priority="15556" operator="between">
      <formula>0.95</formula>
      <formula>1</formula>
    </cfRule>
    <cfRule type="cellIs" dxfId="11013" priority="15557" stopIfTrue="1" operator="between">
      <formula>0</formula>
      <formula>0.5</formula>
    </cfRule>
  </conditionalFormatting>
  <conditionalFormatting sqref="AF43 R43 Y43 AH43:AI43 R48 Y48 AF48 AH48:AI48 R50 Y50 AF50 AH50:AI50 R54 Y54 AF54">
    <cfRule type="cellIs" dxfId="11012" priority="15548" operator="between">
      <formula>0.76</formula>
      <formula>0.95</formula>
    </cfRule>
    <cfRule type="cellIs" dxfId="11011" priority="15549" operator="between">
      <formula>0.51</formula>
      <formula>0.75</formula>
    </cfRule>
    <cfRule type="cellIs" dxfId="11010" priority="15550" operator="greaterThan">
      <formula>1</formula>
    </cfRule>
    <cfRule type="cellIs" dxfId="11009" priority="15551" operator="between">
      <formula>0.95</formula>
      <formula>1</formula>
    </cfRule>
    <cfRule type="cellIs" dxfId="11008" priority="15552" stopIfTrue="1" operator="between">
      <formula>0</formula>
      <formula>0.5</formula>
    </cfRule>
  </conditionalFormatting>
  <conditionalFormatting sqref="T43 T48 T50">
    <cfRule type="cellIs" dxfId="11007" priority="15543" operator="between">
      <formula>0.3751</formula>
      <formula>0.475</formula>
    </cfRule>
    <cfRule type="cellIs" dxfId="11006" priority="15544" operator="between">
      <formula>0.2551</formula>
      <formula>0.375</formula>
    </cfRule>
    <cfRule type="cellIs" dxfId="11005" priority="15545" operator="greaterThan">
      <formula>0.505</formula>
    </cfRule>
    <cfRule type="cellIs" dxfId="11004" priority="15546" operator="between">
      <formula>0.48</formula>
      <formula>0.5</formula>
    </cfRule>
    <cfRule type="cellIs" dxfId="11003" priority="15547" stopIfTrue="1" operator="between">
      <formula>0</formula>
      <formula>0.255</formula>
    </cfRule>
  </conditionalFormatting>
  <conditionalFormatting sqref="AA43:AB43 AA48:AB48 AA50:AB50">
    <cfRule type="cellIs" dxfId="11002" priority="15538" operator="between">
      <formula>0.56251</formula>
      <formula>0.7125</formula>
    </cfRule>
    <cfRule type="cellIs" dxfId="11001" priority="15539" operator="between">
      <formula>0.3751</formula>
      <formula>0.5625</formula>
    </cfRule>
    <cfRule type="cellIs" dxfId="11000" priority="15540" operator="greaterThan">
      <formula>0.751</formula>
    </cfRule>
    <cfRule type="cellIs" dxfId="10999" priority="15541" operator="between">
      <formula>0.71251</formula>
      <formula>0.75</formula>
    </cfRule>
    <cfRule type="cellIs" dxfId="10998" priority="15542" stopIfTrue="1" operator="between">
      <formula>0</formula>
      <formula>0.375</formula>
    </cfRule>
  </conditionalFormatting>
  <conditionalFormatting sqref="U43 U48 U50">
    <cfRule type="cellIs" dxfId="10997" priority="15528" operator="between">
      <formula>0.376</formula>
      <formula>0.475</formula>
    </cfRule>
    <cfRule type="cellIs" dxfId="10996" priority="15529" operator="between">
      <formula>0.2551</formula>
      <formula>0.3751</formula>
    </cfRule>
    <cfRule type="cellIs" dxfId="10995" priority="15530" operator="greaterThan">
      <formula>0.505</formula>
    </cfRule>
    <cfRule type="cellIs" dxfId="10994" priority="15531" operator="between">
      <formula>0.48</formula>
      <formula>0.5</formula>
    </cfRule>
    <cfRule type="cellIs" dxfId="10993" priority="15532" stopIfTrue="1" operator="between">
      <formula>0</formula>
      <formula>0.255</formula>
    </cfRule>
  </conditionalFormatting>
  <conditionalFormatting sqref="Z43 Z48 Z50 Z54">
    <cfRule type="cellIs" dxfId="10992" priority="15508" operator="between">
      <formula>0.76</formula>
      <formula>0.95</formula>
    </cfRule>
    <cfRule type="cellIs" dxfId="10991" priority="15509" operator="between">
      <formula>0.51</formula>
      <formula>0.75</formula>
    </cfRule>
    <cfRule type="cellIs" dxfId="10990" priority="15510" operator="greaterThan">
      <formula>1</formula>
    </cfRule>
    <cfRule type="cellIs" dxfId="10989" priority="15511" operator="between">
      <formula>0.95</formula>
      <formula>1</formula>
    </cfRule>
    <cfRule type="cellIs" dxfId="10988" priority="15512" stopIfTrue="1" operator="between">
      <formula>0</formula>
      <formula>0.5</formula>
    </cfRule>
  </conditionalFormatting>
  <conditionalFormatting sqref="AC43 AC48 AC50">
    <cfRule type="cellIs" dxfId="10987" priority="15503" operator="between">
      <formula>0.56251</formula>
      <formula>0.7125</formula>
    </cfRule>
    <cfRule type="cellIs" dxfId="10986" priority="15504" operator="between">
      <formula>0.3751</formula>
      <formula>0.5625</formula>
    </cfRule>
    <cfRule type="cellIs" dxfId="10985" priority="15505" operator="greaterThan">
      <formula>0.751</formula>
    </cfRule>
    <cfRule type="cellIs" dxfId="10984" priority="15506" operator="between">
      <formula>0.71251</formula>
      <formula>0.75</formula>
    </cfRule>
    <cfRule type="cellIs" dxfId="10983" priority="15507" stopIfTrue="1" operator="between">
      <formula>0</formula>
      <formula>0.375</formula>
    </cfRule>
  </conditionalFormatting>
  <conditionalFormatting sqref="AG43 AG48 AG50 AG54">
    <cfRule type="cellIs" dxfId="10982" priority="15488" operator="between">
      <formula>0.76</formula>
      <formula>0.95</formula>
    </cfRule>
    <cfRule type="cellIs" dxfId="10981" priority="15489" operator="between">
      <formula>0.51</formula>
      <formula>0.75</formula>
    </cfRule>
    <cfRule type="cellIs" dxfId="10980" priority="15490" operator="greaterThan">
      <formula>1</formula>
    </cfRule>
    <cfRule type="cellIs" dxfId="10979" priority="15491" operator="between">
      <formula>0.95</formula>
      <formula>1</formula>
    </cfRule>
    <cfRule type="cellIs" dxfId="10978" priority="15492" stopIfTrue="1" operator="between">
      <formula>0</formula>
      <formula>0.5</formula>
    </cfRule>
  </conditionalFormatting>
  <conditionalFormatting sqref="AF42 R42 Y42 AH42:AI42">
    <cfRule type="cellIs" dxfId="10977" priority="15483" operator="between">
      <formula>0.76</formula>
      <formula>0.95</formula>
    </cfRule>
    <cfRule type="cellIs" dxfId="10976" priority="15484" operator="between">
      <formula>0.51</formula>
      <formula>0.75</formula>
    </cfRule>
    <cfRule type="cellIs" dxfId="10975" priority="15485" operator="greaterThan">
      <formula>1</formula>
    </cfRule>
    <cfRule type="cellIs" dxfId="10974" priority="15486" operator="between">
      <formula>0.95</formula>
      <formula>1</formula>
    </cfRule>
    <cfRule type="cellIs" dxfId="10973" priority="15487" stopIfTrue="1" operator="between">
      <formula>0</formula>
      <formula>0.5</formula>
    </cfRule>
  </conditionalFormatting>
  <conditionalFormatting sqref="T42">
    <cfRule type="cellIs" dxfId="10972" priority="15478" operator="between">
      <formula>0.3751</formula>
      <formula>0.475</formula>
    </cfRule>
    <cfRule type="cellIs" dxfId="10971" priority="15479" operator="between">
      <formula>0.2551</formula>
      <formula>0.375</formula>
    </cfRule>
    <cfRule type="cellIs" dxfId="10970" priority="15480" operator="greaterThan">
      <formula>0.505</formula>
    </cfRule>
    <cfRule type="cellIs" dxfId="10969" priority="15481" operator="between">
      <formula>0.48</formula>
      <formula>0.5</formula>
    </cfRule>
    <cfRule type="cellIs" dxfId="10968" priority="15482" stopIfTrue="1" operator="between">
      <formula>0</formula>
      <formula>0.255</formula>
    </cfRule>
  </conditionalFormatting>
  <conditionalFormatting sqref="AA42:AB42">
    <cfRule type="cellIs" dxfId="10967" priority="15473" operator="between">
      <formula>0.56251</formula>
      <formula>0.7125</formula>
    </cfRule>
    <cfRule type="cellIs" dxfId="10966" priority="15474" operator="between">
      <formula>0.3751</formula>
      <formula>0.5625</formula>
    </cfRule>
    <cfRule type="cellIs" dxfId="10965" priority="15475" operator="greaterThan">
      <formula>0.751</formula>
    </cfRule>
    <cfRule type="cellIs" dxfId="10964" priority="15476" operator="between">
      <formula>0.71251</formula>
      <formula>0.75</formula>
    </cfRule>
    <cfRule type="cellIs" dxfId="10963" priority="15477" stopIfTrue="1" operator="between">
      <formula>0</formula>
      <formula>0.375</formula>
    </cfRule>
  </conditionalFormatting>
  <conditionalFormatting sqref="U42">
    <cfRule type="cellIs" dxfId="10962" priority="15463" operator="between">
      <formula>0.376</formula>
      <formula>0.475</formula>
    </cfRule>
    <cfRule type="cellIs" dxfId="10961" priority="15464" operator="between">
      <formula>0.2551</formula>
      <formula>0.3751</formula>
    </cfRule>
    <cfRule type="cellIs" dxfId="10960" priority="15465" operator="greaterThan">
      <formula>0.505</formula>
    </cfRule>
    <cfRule type="cellIs" dxfId="10959" priority="15466" operator="between">
      <formula>0.48</formula>
      <formula>0.5</formula>
    </cfRule>
    <cfRule type="cellIs" dxfId="10958" priority="15467" stopIfTrue="1" operator="between">
      <formula>0</formula>
      <formula>0.255</formula>
    </cfRule>
  </conditionalFormatting>
  <conditionalFormatting sqref="Z42">
    <cfRule type="cellIs" dxfId="10957" priority="15443" operator="between">
      <formula>0.76</formula>
      <formula>0.95</formula>
    </cfRule>
    <cfRule type="cellIs" dxfId="10956" priority="15444" operator="between">
      <formula>0.51</formula>
      <formula>0.75</formula>
    </cfRule>
    <cfRule type="cellIs" dxfId="10955" priority="15445" operator="greaterThan">
      <formula>1</formula>
    </cfRule>
    <cfRule type="cellIs" dxfId="10954" priority="15446" operator="between">
      <formula>0.95</formula>
      <formula>1</formula>
    </cfRule>
    <cfRule type="cellIs" dxfId="10953" priority="15447" stopIfTrue="1" operator="between">
      <formula>0</formula>
      <formula>0.5</formula>
    </cfRule>
  </conditionalFormatting>
  <conditionalFormatting sqref="AC42">
    <cfRule type="cellIs" dxfId="10952" priority="15438" operator="between">
      <formula>0.56251</formula>
      <formula>0.7125</formula>
    </cfRule>
    <cfRule type="cellIs" dxfId="10951" priority="15439" operator="between">
      <formula>0.3751</formula>
      <formula>0.5625</formula>
    </cfRule>
    <cfRule type="cellIs" dxfId="10950" priority="15440" operator="greaterThan">
      <formula>0.751</formula>
    </cfRule>
    <cfRule type="cellIs" dxfId="10949" priority="15441" operator="between">
      <formula>0.71251</formula>
      <formula>0.75</formula>
    </cfRule>
    <cfRule type="cellIs" dxfId="10948" priority="15442" stopIfTrue="1" operator="between">
      <formula>0</formula>
      <formula>0.375</formula>
    </cfRule>
  </conditionalFormatting>
  <conditionalFormatting sqref="AG42">
    <cfRule type="cellIs" dxfId="10947" priority="15423" operator="between">
      <formula>0.76</formula>
      <formula>0.95</formula>
    </cfRule>
    <cfRule type="cellIs" dxfId="10946" priority="15424" operator="between">
      <formula>0.51</formula>
      <formula>0.75</formula>
    </cfRule>
    <cfRule type="cellIs" dxfId="10945" priority="15425" operator="greaterThan">
      <formula>1</formula>
    </cfRule>
    <cfRule type="cellIs" dxfId="10944" priority="15426" operator="between">
      <formula>0.95</formula>
      <formula>1</formula>
    </cfRule>
    <cfRule type="cellIs" dxfId="10943" priority="15427" stopIfTrue="1" operator="between">
      <formula>0</formula>
      <formula>0.5</formula>
    </cfRule>
  </conditionalFormatting>
  <conditionalFormatting sqref="R59:R60 Y59:Y60 AF59:AF60 AH59:AI60">
    <cfRule type="cellIs" dxfId="10942" priority="15418" operator="between">
      <formula>0.76</formula>
      <formula>0.95</formula>
    </cfRule>
    <cfRule type="cellIs" dxfId="10941" priority="15419" operator="between">
      <formula>0.51</formula>
      <formula>0.75</formula>
    </cfRule>
    <cfRule type="cellIs" dxfId="10940" priority="15420" operator="greaterThan">
      <formula>1</formula>
    </cfRule>
    <cfRule type="cellIs" dxfId="10939" priority="15421" operator="between">
      <formula>0.95</formula>
      <formula>1</formula>
    </cfRule>
    <cfRule type="cellIs" dxfId="10938" priority="15422" stopIfTrue="1" operator="between">
      <formula>0</formula>
      <formula>0.5</formula>
    </cfRule>
  </conditionalFormatting>
  <conditionalFormatting sqref="T59:T60">
    <cfRule type="cellIs" dxfId="10937" priority="15413" operator="between">
      <formula>0.3751</formula>
      <formula>0.475</formula>
    </cfRule>
    <cfRule type="cellIs" dxfId="10936" priority="15414" operator="between">
      <formula>0.2551</formula>
      <formula>0.375</formula>
    </cfRule>
    <cfRule type="cellIs" dxfId="10935" priority="15415" operator="greaterThan">
      <formula>0.505</formula>
    </cfRule>
    <cfRule type="cellIs" dxfId="10934" priority="15416" operator="between">
      <formula>0.48</formula>
      <formula>0.5</formula>
    </cfRule>
    <cfRule type="cellIs" dxfId="10933" priority="15417" stopIfTrue="1" operator="between">
      <formula>0</formula>
      <formula>0.255</formula>
    </cfRule>
  </conditionalFormatting>
  <conditionalFormatting sqref="AA59:AB59 AA60">
    <cfRule type="cellIs" dxfId="10932" priority="15408" operator="between">
      <formula>0.56251</formula>
      <formula>0.7125</formula>
    </cfRule>
    <cfRule type="cellIs" dxfId="10931" priority="15409" operator="between">
      <formula>0.3751</formula>
      <formula>0.5625</formula>
    </cfRule>
    <cfRule type="cellIs" dxfId="10930" priority="15410" operator="greaterThan">
      <formula>0.751</formula>
    </cfRule>
    <cfRule type="cellIs" dxfId="10929" priority="15411" operator="between">
      <formula>0.71251</formula>
      <formula>0.75</formula>
    </cfRule>
    <cfRule type="cellIs" dxfId="10928" priority="15412" stopIfTrue="1" operator="between">
      <formula>0</formula>
      <formula>0.375</formula>
    </cfRule>
  </conditionalFormatting>
  <conditionalFormatting sqref="U59">
    <cfRule type="cellIs" dxfId="10927" priority="15398" operator="between">
      <formula>0.376</formula>
      <formula>0.475</formula>
    </cfRule>
    <cfRule type="cellIs" dxfId="10926" priority="15399" operator="between">
      <formula>0.2551</formula>
      <formula>0.3751</formula>
    </cfRule>
    <cfRule type="cellIs" dxfId="10925" priority="15400" operator="greaterThan">
      <formula>0.505</formula>
    </cfRule>
    <cfRule type="cellIs" dxfId="10924" priority="15401" operator="between">
      <formula>0.48</formula>
      <formula>0.5</formula>
    </cfRule>
    <cfRule type="cellIs" dxfId="10923" priority="15402" stopIfTrue="1" operator="between">
      <formula>0</formula>
      <formula>0.255</formula>
    </cfRule>
  </conditionalFormatting>
  <conditionalFormatting sqref="Z59:Z60">
    <cfRule type="cellIs" dxfId="10922" priority="15378" operator="between">
      <formula>0.76</formula>
      <formula>0.95</formula>
    </cfRule>
    <cfRule type="cellIs" dxfId="10921" priority="15379" operator="between">
      <formula>0.51</formula>
      <formula>0.75</formula>
    </cfRule>
    <cfRule type="cellIs" dxfId="10920" priority="15380" operator="greaterThan">
      <formula>1</formula>
    </cfRule>
    <cfRule type="cellIs" dxfId="10919" priority="15381" operator="between">
      <formula>0.95</formula>
      <formula>1</formula>
    </cfRule>
    <cfRule type="cellIs" dxfId="10918" priority="15382" stopIfTrue="1" operator="between">
      <formula>0</formula>
      <formula>0.5</formula>
    </cfRule>
  </conditionalFormatting>
  <conditionalFormatting sqref="AC59">
    <cfRule type="cellIs" dxfId="10917" priority="15373" operator="between">
      <formula>0.56251</formula>
      <formula>0.7125</formula>
    </cfRule>
    <cfRule type="cellIs" dxfId="10916" priority="15374" operator="between">
      <formula>0.3751</formula>
      <formula>0.5625</formula>
    </cfRule>
    <cfRule type="cellIs" dxfId="10915" priority="15375" operator="greaterThan">
      <formula>0.751</formula>
    </cfRule>
    <cfRule type="cellIs" dxfId="10914" priority="15376" operator="between">
      <formula>0.71251</formula>
      <formula>0.75</formula>
    </cfRule>
    <cfRule type="cellIs" dxfId="10913" priority="15377" stopIfTrue="1" operator="between">
      <formula>0</formula>
      <formula>0.375</formula>
    </cfRule>
  </conditionalFormatting>
  <conditionalFormatting sqref="AG59:AG60">
    <cfRule type="cellIs" dxfId="10912" priority="15358" operator="between">
      <formula>0.76</formula>
      <formula>0.95</formula>
    </cfRule>
    <cfRule type="cellIs" dxfId="10911" priority="15359" operator="between">
      <formula>0.51</formula>
      <formula>0.75</formula>
    </cfRule>
    <cfRule type="cellIs" dxfId="10910" priority="15360" operator="greaterThan">
      <formula>1</formula>
    </cfRule>
    <cfRule type="cellIs" dxfId="10909" priority="15361" operator="between">
      <formula>0.95</formula>
      <formula>1</formula>
    </cfRule>
    <cfRule type="cellIs" dxfId="10908" priority="15362" stopIfTrue="1" operator="between">
      <formula>0</formula>
      <formula>0.5</formula>
    </cfRule>
  </conditionalFormatting>
  <conditionalFormatting sqref="S45">
    <cfRule type="cellIs" dxfId="10907" priority="15263" operator="between">
      <formula>0.76</formula>
      <formula>0.95</formula>
    </cfRule>
    <cfRule type="cellIs" dxfId="10906" priority="15264" operator="between">
      <formula>0.51</formula>
      <formula>0.75</formula>
    </cfRule>
    <cfRule type="cellIs" dxfId="10905" priority="15265" operator="greaterThan">
      <formula>1</formula>
    </cfRule>
    <cfRule type="cellIs" dxfId="10904" priority="15266" operator="between">
      <formula>0.95</formula>
      <formula>1</formula>
    </cfRule>
    <cfRule type="cellIs" dxfId="10903" priority="15267" stopIfTrue="1" operator="between">
      <formula>0</formula>
      <formula>0.5</formula>
    </cfRule>
  </conditionalFormatting>
  <conditionalFormatting sqref="V45">
    <cfRule type="cellIs" dxfId="10902" priority="15258" operator="between">
      <formula>0.376</formula>
      <formula>0.475</formula>
    </cfRule>
    <cfRule type="cellIs" dxfId="10901" priority="15259" operator="between">
      <formula>0.2551</formula>
      <formula>0.3751</formula>
    </cfRule>
    <cfRule type="cellIs" dxfId="10900" priority="15260" operator="greaterThan">
      <formula>0.505</formula>
    </cfRule>
    <cfRule type="cellIs" dxfId="10899" priority="15261" operator="between">
      <formula>0.48</formula>
      <formula>0.5</formula>
    </cfRule>
    <cfRule type="cellIs" dxfId="10898" priority="15262" stopIfTrue="1" operator="between">
      <formula>0</formula>
      <formula>0.255</formula>
    </cfRule>
  </conditionalFormatting>
  <conditionalFormatting sqref="S48">
    <cfRule type="cellIs" dxfId="10897" priority="15223" operator="between">
      <formula>0.76</formula>
      <formula>0.95</formula>
    </cfRule>
    <cfRule type="cellIs" dxfId="10896" priority="15224" operator="between">
      <formula>0.51</formula>
      <formula>0.75</formula>
    </cfRule>
    <cfRule type="cellIs" dxfId="10895" priority="15225" operator="greaterThan">
      <formula>1</formula>
    </cfRule>
    <cfRule type="cellIs" dxfId="10894" priority="15226" operator="between">
      <formula>0.95</formula>
      <formula>1</formula>
    </cfRule>
    <cfRule type="cellIs" dxfId="10893" priority="15227" stopIfTrue="1" operator="between">
      <formula>0</formula>
      <formula>0.5</formula>
    </cfRule>
  </conditionalFormatting>
  <conditionalFormatting sqref="V48">
    <cfRule type="cellIs" dxfId="10892" priority="15218" operator="between">
      <formula>0.376</formula>
      <formula>0.475</formula>
    </cfRule>
    <cfRule type="cellIs" dxfId="10891" priority="15219" operator="between">
      <formula>0.2551</formula>
      <formula>0.3751</formula>
    </cfRule>
    <cfRule type="cellIs" dxfId="10890" priority="15220" operator="greaterThan">
      <formula>0.505</formula>
    </cfRule>
    <cfRule type="cellIs" dxfId="10889" priority="15221" operator="between">
      <formula>0.48</formula>
      <formula>0.5</formula>
    </cfRule>
    <cfRule type="cellIs" dxfId="10888" priority="15222" stopIfTrue="1" operator="between">
      <formula>0</formula>
      <formula>0.255</formula>
    </cfRule>
  </conditionalFormatting>
  <conditionalFormatting sqref="S42">
    <cfRule type="cellIs" dxfId="10887" priority="15198" operator="between">
      <formula>0.76</formula>
      <formula>0.95</formula>
    </cfRule>
    <cfRule type="cellIs" dxfId="10886" priority="15199" operator="between">
      <formula>0.51</formula>
      <formula>0.75</formula>
    </cfRule>
    <cfRule type="cellIs" dxfId="10885" priority="15200" operator="greaterThan">
      <formula>1</formula>
    </cfRule>
    <cfRule type="cellIs" dxfId="10884" priority="15201" operator="between">
      <formula>0.95</formula>
      <formula>1</formula>
    </cfRule>
    <cfRule type="cellIs" dxfId="10883" priority="15202" stopIfTrue="1" operator="between">
      <formula>0</formula>
      <formula>0.5</formula>
    </cfRule>
  </conditionalFormatting>
  <conditionalFormatting sqref="S43">
    <cfRule type="cellIs" dxfId="10882" priority="15193" operator="between">
      <formula>0.76</formula>
      <formula>0.95</formula>
    </cfRule>
    <cfRule type="cellIs" dxfId="10881" priority="15194" operator="between">
      <formula>0.51</formula>
      <formula>0.75</formula>
    </cfRule>
    <cfRule type="cellIs" dxfId="10880" priority="15195" operator="greaterThan">
      <formula>1</formula>
    </cfRule>
    <cfRule type="cellIs" dxfId="10879" priority="15196" operator="between">
      <formula>0.95</formula>
      <formula>1</formula>
    </cfRule>
    <cfRule type="cellIs" dxfId="10878" priority="15197" stopIfTrue="1" operator="between">
      <formula>0</formula>
      <formula>0.5</formula>
    </cfRule>
  </conditionalFormatting>
  <conditionalFormatting sqref="S44">
    <cfRule type="cellIs" dxfId="10877" priority="15183" operator="between">
      <formula>0.76</formula>
      <formula>0.95</formula>
    </cfRule>
    <cfRule type="cellIs" dxfId="10876" priority="15184" operator="between">
      <formula>0.51</formula>
      <formula>0.75</formula>
    </cfRule>
    <cfRule type="cellIs" dxfId="10875" priority="15185" operator="greaterThan">
      <formula>1</formula>
    </cfRule>
    <cfRule type="cellIs" dxfId="10874" priority="15186" operator="between">
      <formula>0.95</formula>
      <formula>1</formula>
    </cfRule>
    <cfRule type="cellIs" dxfId="10873" priority="15187" stopIfTrue="1" operator="between">
      <formula>0</formula>
      <formula>0.5</formula>
    </cfRule>
  </conditionalFormatting>
  <conditionalFormatting sqref="S50">
    <cfRule type="cellIs" dxfId="10872" priority="15178" operator="between">
      <formula>0.76</formula>
      <formula>0.95</formula>
    </cfRule>
    <cfRule type="cellIs" dxfId="10871" priority="15179" operator="between">
      <formula>0.51</formula>
      <formula>0.75</formula>
    </cfRule>
    <cfRule type="cellIs" dxfId="10870" priority="15180" operator="greaterThan">
      <formula>1</formula>
    </cfRule>
    <cfRule type="cellIs" dxfId="10869" priority="15181" operator="between">
      <formula>0.95</formula>
      <formula>1</formula>
    </cfRule>
    <cfRule type="cellIs" dxfId="10868" priority="15182" stopIfTrue="1" operator="between">
      <formula>0</formula>
      <formula>0.5</formula>
    </cfRule>
  </conditionalFormatting>
  <conditionalFormatting sqref="V42">
    <cfRule type="cellIs" dxfId="10867" priority="15173" operator="between">
      <formula>0.376</formula>
      <formula>0.475</formula>
    </cfRule>
    <cfRule type="cellIs" dxfId="10866" priority="15174" operator="between">
      <formula>0.2551</formula>
      <formula>0.3751</formula>
    </cfRule>
    <cfRule type="cellIs" dxfId="10865" priority="15175" operator="greaterThan">
      <formula>0.505</formula>
    </cfRule>
    <cfRule type="cellIs" dxfId="10864" priority="15176" operator="between">
      <formula>0.48</formula>
      <formula>0.5</formula>
    </cfRule>
    <cfRule type="cellIs" dxfId="10863" priority="15177" stopIfTrue="1" operator="between">
      <formula>0</formula>
      <formula>0.255</formula>
    </cfRule>
  </conditionalFormatting>
  <conditionalFormatting sqref="V43">
    <cfRule type="cellIs" dxfId="10862" priority="15168" operator="between">
      <formula>0.376</formula>
      <formula>0.475</formula>
    </cfRule>
    <cfRule type="cellIs" dxfId="10861" priority="15169" operator="between">
      <formula>0.2551</formula>
      <formula>0.3751</formula>
    </cfRule>
    <cfRule type="cellIs" dxfId="10860" priority="15170" operator="greaterThan">
      <formula>0.505</formula>
    </cfRule>
    <cfRule type="cellIs" dxfId="10859" priority="15171" operator="between">
      <formula>0.48</formula>
      <formula>0.5</formula>
    </cfRule>
    <cfRule type="cellIs" dxfId="10858" priority="15172" stopIfTrue="1" operator="between">
      <formula>0</formula>
      <formula>0.255</formula>
    </cfRule>
  </conditionalFormatting>
  <conditionalFormatting sqref="V44">
    <cfRule type="cellIs" dxfId="10857" priority="15158" operator="between">
      <formula>0.376</formula>
      <formula>0.475</formula>
    </cfRule>
    <cfRule type="cellIs" dxfId="10856" priority="15159" operator="between">
      <formula>0.2551</formula>
      <formula>0.3751</formula>
    </cfRule>
    <cfRule type="cellIs" dxfId="10855" priority="15160" operator="greaterThan">
      <formula>0.505</formula>
    </cfRule>
    <cfRule type="cellIs" dxfId="10854" priority="15161" operator="between">
      <formula>0.48</formula>
      <formula>0.5</formula>
    </cfRule>
    <cfRule type="cellIs" dxfId="10853" priority="15162" stopIfTrue="1" operator="between">
      <formula>0</formula>
      <formula>0.255</formula>
    </cfRule>
  </conditionalFormatting>
  <conditionalFormatting sqref="V50">
    <cfRule type="cellIs" dxfId="10852" priority="15153" operator="between">
      <formula>0.376</formula>
      <formula>0.475</formula>
    </cfRule>
    <cfRule type="cellIs" dxfId="10851" priority="15154" operator="between">
      <formula>0.2551</formula>
      <formula>0.3751</formula>
    </cfRule>
    <cfRule type="cellIs" dxfId="10850" priority="15155" operator="greaterThan">
      <formula>0.505</formula>
    </cfRule>
    <cfRule type="cellIs" dxfId="10849" priority="15156" operator="between">
      <formula>0.48</formula>
      <formula>0.5</formula>
    </cfRule>
    <cfRule type="cellIs" dxfId="10848" priority="15157" stopIfTrue="1" operator="between">
      <formula>0</formula>
      <formula>0.255</formula>
    </cfRule>
  </conditionalFormatting>
  <conditionalFormatting sqref="S54">
    <cfRule type="cellIs" dxfId="10847" priority="15138" operator="between">
      <formula>0.76</formula>
      <formula>0.95</formula>
    </cfRule>
    <cfRule type="cellIs" dxfId="10846" priority="15139" operator="between">
      <formula>0.51</formula>
      <formula>0.75</formula>
    </cfRule>
    <cfRule type="cellIs" dxfId="10845" priority="15140" operator="greaterThan">
      <formula>1</formula>
    </cfRule>
    <cfRule type="cellIs" dxfId="10844" priority="15141" operator="between">
      <formula>0.95</formula>
      <formula>1</formula>
    </cfRule>
    <cfRule type="cellIs" dxfId="10843" priority="15142" stopIfTrue="1" operator="between">
      <formula>0</formula>
      <formula>0.5</formula>
    </cfRule>
  </conditionalFormatting>
  <conditionalFormatting sqref="S57">
    <cfRule type="cellIs" dxfId="10842" priority="15118" operator="between">
      <formula>0.76</formula>
      <formula>0.95</formula>
    </cfRule>
    <cfRule type="cellIs" dxfId="10841" priority="15119" operator="between">
      <formula>0.51</formula>
      <formula>0.75</formula>
    </cfRule>
    <cfRule type="cellIs" dxfId="10840" priority="15120" operator="greaterThan">
      <formula>1</formula>
    </cfRule>
    <cfRule type="cellIs" dxfId="10839" priority="15121" operator="between">
      <formula>0.95</formula>
      <formula>1</formula>
    </cfRule>
    <cfRule type="cellIs" dxfId="10838" priority="15122" stopIfTrue="1" operator="between">
      <formula>0</formula>
      <formula>0.5</formula>
    </cfRule>
  </conditionalFormatting>
  <conditionalFormatting sqref="V57">
    <cfRule type="cellIs" dxfId="10837" priority="15103" operator="between">
      <formula>0.376</formula>
      <formula>0.475</formula>
    </cfRule>
    <cfRule type="cellIs" dxfId="10836" priority="15104" operator="between">
      <formula>0.2551</formula>
      <formula>0.3751</formula>
    </cfRule>
    <cfRule type="cellIs" dxfId="10835" priority="15105" operator="greaterThan">
      <formula>0.505</formula>
    </cfRule>
    <cfRule type="cellIs" dxfId="10834" priority="15106" operator="between">
      <formula>0.48</formula>
      <formula>0.5</formula>
    </cfRule>
    <cfRule type="cellIs" dxfId="10833" priority="15107" stopIfTrue="1" operator="between">
      <formula>0</formula>
      <formula>0.255</formula>
    </cfRule>
  </conditionalFormatting>
  <conditionalFormatting sqref="S59:S60">
    <cfRule type="cellIs" dxfId="10832" priority="15078" operator="between">
      <formula>0.76</formula>
      <formula>0.95</formula>
    </cfRule>
    <cfRule type="cellIs" dxfId="10831" priority="15079" operator="between">
      <formula>0.51</formula>
      <formula>0.75</formula>
    </cfRule>
    <cfRule type="cellIs" dxfId="10830" priority="15080" operator="greaterThan">
      <formula>1</formula>
    </cfRule>
    <cfRule type="cellIs" dxfId="10829" priority="15081" operator="between">
      <formula>0.95</formula>
      <formula>1</formula>
    </cfRule>
    <cfRule type="cellIs" dxfId="10828" priority="15082" stopIfTrue="1" operator="between">
      <formula>0</formula>
      <formula>0.5</formula>
    </cfRule>
  </conditionalFormatting>
  <conditionalFormatting sqref="V59">
    <cfRule type="cellIs" dxfId="10827" priority="15073" operator="between">
      <formula>0.376</formula>
      <formula>0.475</formula>
    </cfRule>
    <cfRule type="cellIs" dxfId="10826" priority="15074" operator="between">
      <formula>0.2551</formula>
      <formula>0.3751</formula>
    </cfRule>
    <cfRule type="cellIs" dxfId="10825" priority="15075" operator="greaterThan">
      <formula>0.505</formula>
    </cfRule>
    <cfRule type="cellIs" dxfId="10824" priority="15076" operator="between">
      <formula>0.48</formula>
      <formula>0.5</formula>
    </cfRule>
    <cfRule type="cellIs" dxfId="10823" priority="15077" stopIfTrue="1" operator="between">
      <formula>0</formula>
      <formula>0.255</formula>
    </cfRule>
  </conditionalFormatting>
  <conditionalFormatting sqref="R244:R245 Y244:Z245 AF244:AI245">
    <cfRule type="cellIs" dxfId="10822" priority="15068" operator="between">
      <formula>0.76</formula>
      <formula>0.95</formula>
    </cfRule>
    <cfRule type="cellIs" dxfId="10821" priority="15069" operator="between">
      <formula>0.51</formula>
      <formula>0.75</formula>
    </cfRule>
    <cfRule type="cellIs" dxfId="10820" priority="15070" operator="greaterThan">
      <formula>1</formula>
    </cfRule>
    <cfRule type="cellIs" dxfId="10819" priority="15071" operator="between">
      <formula>0.95</formula>
      <formula>1</formula>
    </cfRule>
    <cfRule type="cellIs" dxfId="10818" priority="15072" stopIfTrue="1" operator="between">
      <formula>0</formula>
      <formula>0.5</formula>
    </cfRule>
  </conditionalFormatting>
  <conditionalFormatting sqref="T244:T245">
    <cfRule type="cellIs" dxfId="10817" priority="15063" operator="between">
      <formula>0.3751</formula>
      <formula>0.475</formula>
    </cfRule>
    <cfRule type="cellIs" dxfId="10816" priority="15064" operator="between">
      <formula>0.2551</formula>
      <formula>0.375</formula>
    </cfRule>
    <cfRule type="cellIs" dxfId="10815" priority="15065" operator="greaterThan">
      <formula>0.505</formula>
    </cfRule>
    <cfRule type="cellIs" dxfId="10814" priority="15066" operator="between">
      <formula>0.48</formula>
      <formula>0.5</formula>
    </cfRule>
    <cfRule type="cellIs" dxfId="10813" priority="15067" stopIfTrue="1" operator="between">
      <formula>0</formula>
      <formula>0.255</formula>
    </cfRule>
  </conditionalFormatting>
  <conditionalFormatting sqref="AA244:AC245">
    <cfRule type="cellIs" dxfId="10812" priority="15058" operator="between">
      <formula>0.56251</formula>
      <formula>0.7125</formula>
    </cfRule>
    <cfRule type="cellIs" dxfId="10811" priority="15059" operator="between">
      <formula>0.3751</formula>
      <formula>0.5625</formula>
    </cfRule>
    <cfRule type="cellIs" dxfId="10810" priority="15060" operator="greaterThan">
      <formula>0.751</formula>
    </cfRule>
    <cfRule type="cellIs" dxfId="10809" priority="15061" operator="between">
      <formula>0.71251</formula>
      <formula>0.75</formula>
    </cfRule>
    <cfRule type="cellIs" dxfId="10808" priority="15062" stopIfTrue="1" operator="between">
      <formula>0</formula>
      <formula>0.375</formula>
    </cfRule>
  </conditionalFormatting>
  <conditionalFormatting sqref="U244:U245">
    <cfRule type="cellIs" dxfId="10807" priority="15048" operator="between">
      <formula>0.376</formula>
      <formula>0.475</formula>
    </cfRule>
    <cfRule type="cellIs" dxfId="10806" priority="15049" operator="between">
      <formula>0.2551</formula>
      <formula>0.3751</formula>
    </cfRule>
    <cfRule type="cellIs" dxfId="10805" priority="15050" operator="greaterThan">
      <formula>0.505</formula>
    </cfRule>
    <cfRule type="cellIs" dxfId="10804" priority="15051" operator="between">
      <formula>0.48</formula>
      <formula>0.5</formula>
    </cfRule>
    <cfRule type="cellIs" dxfId="10803" priority="15052" stopIfTrue="1" operator="between">
      <formula>0</formula>
      <formula>0.255</formula>
    </cfRule>
  </conditionalFormatting>
  <conditionalFormatting sqref="S244:S245">
    <cfRule type="cellIs" dxfId="10802" priority="15020" operator="between">
      <formula>0.76</formula>
      <formula>0.95</formula>
    </cfRule>
    <cfRule type="cellIs" dxfId="10801" priority="15021" operator="between">
      <formula>0.51</formula>
      <formula>0.75</formula>
    </cfRule>
    <cfRule type="cellIs" dxfId="10800" priority="15022" operator="greaterThan">
      <formula>1</formula>
    </cfRule>
    <cfRule type="cellIs" dxfId="10799" priority="15023" operator="between">
      <formula>0.95</formula>
      <formula>1</formula>
    </cfRule>
    <cfRule type="cellIs" dxfId="10798" priority="15024" stopIfTrue="1" operator="between">
      <formula>0</formula>
      <formula>0.5</formula>
    </cfRule>
  </conditionalFormatting>
  <conditionalFormatting sqref="V244:V245">
    <cfRule type="cellIs" dxfId="10797" priority="15015" operator="between">
      <formula>0.376</formula>
      <formula>0.475</formula>
    </cfRule>
    <cfRule type="cellIs" dxfId="10796" priority="15016" operator="between">
      <formula>0.2551</formula>
      <formula>0.3751</formula>
    </cfRule>
    <cfRule type="cellIs" dxfId="10795" priority="15017" operator="greaterThan">
      <formula>0.505</formula>
    </cfRule>
    <cfRule type="cellIs" dxfId="10794" priority="15018" operator="between">
      <formula>0.48</formula>
      <formula>0.5</formula>
    </cfRule>
    <cfRule type="cellIs" dxfId="10793" priority="15019" stopIfTrue="1" operator="between">
      <formula>0</formula>
      <formula>0.255</formula>
    </cfRule>
  </conditionalFormatting>
  <conditionalFormatting sqref="R246 Y246:Z246 AF246:AI246">
    <cfRule type="cellIs" dxfId="10792" priority="15010" operator="between">
      <formula>0.76</formula>
      <formula>0.95</formula>
    </cfRule>
    <cfRule type="cellIs" dxfId="10791" priority="15011" operator="between">
      <formula>0.51</formula>
      <formula>0.75</formula>
    </cfRule>
    <cfRule type="cellIs" dxfId="10790" priority="15012" operator="greaterThan">
      <formula>1</formula>
    </cfRule>
    <cfRule type="cellIs" dxfId="10789" priority="15013" operator="between">
      <formula>0.95</formula>
      <formula>1</formula>
    </cfRule>
    <cfRule type="cellIs" dxfId="10788" priority="15014" stopIfTrue="1" operator="between">
      <formula>0</formula>
      <formula>0.5</formula>
    </cfRule>
  </conditionalFormatting>
  <conditionalFormatting sqref="T246">
    <cfRule type="cellIs" dxfId="10787" priority="15005" operator="between">
      <formula>0.3751</formula>
      <formula>0.475</formula>
    </cfRule>
    <cfRule type="cellIs" dxfId="10786" priority="15006" operator="between">
      <formula>0.2551</formula>
      <formula>0.375</formula>
    </cfRule>
    <cfRule type="cellIs" dxfId="10785" priority="15007" operator="greaterThan">
      <formula>0.505</formula>
    </cfRule>
    <cfRule type="cellIs" dxfId="10784" priority="15008" operator="between">
      <formula>0.48</formula>
      <formula>0.5</formula>
    </cfRule>
    <cfRule type="cellIs" dxfId="10783" priority="15009" stopIfTrue="1" operator="between">
      <formula>0</formula>
      <formula>0.255</formula>
    </cfRule>
  </conditionalFormatting>
  <conditionalFormatting sqref="AA246:AC246">
    <cfRule type="cellIs" dxfId="10782" priority="15000" operator="between">
      <formula>0.56251</formula>
      <formula>0.7125</formula>
    </cfRule>
    <cfRule type="cellIs" dxfId="10781" priority="15001" operator="between">
      <formula>0.3751</formula>
      <formula>0.5625</formula>
    </cfRule>
    <cfRule type="cellIs" dxfId="10780" priority="15002" operator="greaterThan">
      <formula>0.751</formula>
    </cfRule>
    <cfRule type="cellIs" dxfId="10779" priority="15003" operator="between">
      <formula>0.71251</formula>
      <formula>0.75</formula>
    </cfRule>
    <cfRule type="cellIs" dxfId="10778" priority="15004" stopIfTrue="1" operator="between">
      <formula>0</formula>
      <formula>0.375</formula>
    </cfRule>
  </conditionalFormatting>
  <conditionalFormatting sqref="U246">
    <cfRule type="cellIs" dxfId="10777" priority="14990" operator="between">
      <formula>0.376</formula>
      <formula>0.475</formula>
    </cfRule>
    <cfRule type="cellIs" dxfId="10776" priority="14991" operator="between">
      <formula>0.2551</formula>
      <formula>0.3751</formula>
    </cfRule>
    <cfRule type="cellIs" dxfId="10775" priority="14992" operator="greaterThan">
      <formula>0.505</formula>
    </cfRule>
    <cfRule type="cellIs" dxfId="10774" priority="14993" operator="between">
      <formula>0.48</formula>
      <formula>0.5</formula>
    </cfRule>
    <cfRule type="cellIs" dxfId="10773" priority="14994" stopIfTrue="1" operator="between">
      <formula>0</formula>
      <formula>0.255</formula>
    </cfRule>
  </conditionalFormatting>
  <conditionalFormatting sqref="S246">
    <cfRule type="cellIs" dxfId="10772" priority="14942" operator="between">
      <formula>0.76</formula>
      <formula>0.95</formula>
    </cfRule>
    <cfRule type="cellIs" dxfId="10771" priority="14943" operator="between">
      <formula>0.51</formula>
      <formula>0.75</formula>
    </cfRule>
    <cfRule type="cellIs" dxfId="10770" priority="14944" operator="greaterThan">
      <formula>1</formula>
    </cfRule>
    <cfRule type="cellIs" dxfId="10769" priority="14945" operator="between">
      <formula>0.95</formula>
      <formula>1</formula>
    </cfRule>
    <cfRule type="cellIs" dxfId="10768" priority="14946" stopIfTrue="1" operator="between">
      <formula>0</formula>
      <formula>0.5</formula>
    </cfRule>
  </conditionalFormatting>
  <conditionalFormatting sqref="V246">
    <cfRule type="cellIs" dxfId="10767" priority="14937" operator="between">
      <formula>0.376</formula>
      <formula>0.475</formula>
    </cfRule>
    <cfRule type="cellIs" dxfId="10766" priority="14938" operator="between">
      <formula>0.2551</formula>
      <formula>0.3751</formula>
    </cfRule>
    <cfRule type="cellIs" dxfId="10765" priority="14939" operator="greaterThan">
      <formula>0.505</formula>
    </cfRule>
    <cfRule type="cellIs" dxfId="10764" priority="14940" operator="between">
      <formula>0.48</formula>
      <formula>0.5</formula>
    </cfRule>
    <cfRule type="cellIs" dxfId="10763" priority="14941" stopIfTrue="1" operator="between">
      <formula>0</formula>
      <formula>0.255</formula>
    </cfRule>
  </conditionalFormatting>
  <conditionalFormatting sqref="AF247:AI247">
    <cfRule type="cellIs" dxfId="10762" priority="14932" operator="between">
      <formula>0.76</formula>
      <formula>0.95</formula>
    </cfRule>
    <cfRule type="cellIs" dxfId="10761" priority="14933" operator="between">
      <formula>0.51</formula>
      <formula>0.75</formula>
    </cfRule>
    <cfRule type="cellIs" dxfId="10760" priority="14934" operator="greaterThan">
      <formula>1</formula>
    </cfRule>
    <cfRule type="cellIs" dxfId="10759" priority="14935" operator="between">
      <formula>0.95</formula>
      <formula>1</formula>
    </cfRule>
    <cfRule type="cellIs" dxfId="10758" priority="14936" stopIfTrue="1" operator="between">
      <formula>0</formula>
      <formula>0.5</formula>
    </cfRule>
  </conditionalFormatting>
  <conditionalFormatting sqref="AG248:AG249">
    <cfRule type="cellIs" dxfId="10757" priority="14874" operator="between">
      <formula>0.76</formula>
      <formula>0.95</formula>
    </cfRule>
    <cfRule type="cellIs" dxfId="10756" priority="14875" operator="between">
      <formula>0.51</formula>
      <formula>0.75</formula>
    </cfRule>
    <cfRule type="cellIs" dxfId="10755" priority="14876" operator="greaterThan">
      <formula>1</formula>
    </cfRule>
    <cfRule type="cellIs" dxfId="10754" priority="14877" operator="between">
      <formula>0.95</formula>
      <formula>1</formula>
    </cfRule>
    <cfRule type="cellIs" dxfId="10753" priority="14878" stopIfTrue="1" operator="between">
      <formula>0</formula>
      <formula>0.5</formula>
    </cfRule>
  </conditionalFormatting>
  <conditionalFormatting sqref="S181">
    <cfRule type="cellIs" dxfId="10752" priority="14760" operator="between">
      <formula>0.76</formula>
      <formula>0.95</formula>
    </cfRule>
    <cfRule type="cellIs" dxfId="10751" priority="14761" operator="between">
      <formula>0.51</formula>
      <formula>0.75</formula>
    </cfRule>
    <cfRule type="cellIs" dxfId="10750" priority="14762" operator="greaterThan">
      <formula>1</formula>
    </cfRule>
    <cfRule type="cellIs" dxfId="10749" priority="14763" operator="between">
      <formula>0.95</formula>
      <formula>1</formula>
    </cfRule>
    <cfRule type="cellIs" dxfId="10748" priority="14764" stopIfTrue="1" operator="between">
      <formula>0</formula>
      <formula>0.5</formula>
    </cfRule>
  </conditionalFormatting>
  <conditionalFormatting sqref="V181">
    <cfRule type="cellIs" dxfId="10747" priority="14755" operator="between">
      <formula>0.376</formula>
      <formula>0.475</formula>
    </cfRule>
    <cfRule type="cellIs" dxfId="10746" priority="14756" operator="between">
      <formula>0.2551</formula>
      <formula>0.3751</formula>
    </cfRule>
    <cfRule type="cellIs" dxfId="10745" priority="14757" operator="greaterThan">
      <formula>0.505</formula>
    </cfRule>
    <cfRule type="cellIs" dxfId="10744" priority="14758" operator="between">
      <formula>0.48</formula>
      <formula>0.5</formula>
    </cfRule>
    <cfRule type="cellIs" dxfId="10743" priority="14759" stopIfTrue="1" operator="between">
      <formula>0</formula>
      <formula>0.255</formula>
    </cfRule>
  </conditionalFormatting>
  <conditionalFormatting sqref="AG181">
    <cfRule type="cellIs" dxfId="10742" priority="14750" operator="between">
      <formula>0.76</formula>
      <formula>0.95</formula>
    </cfRule>
    <cfRule type="cellIs" dxfId="10741" priority="14751" operator="between">
      <formula>0.51</formula>
      <formula>0.75</formula>
    </cfRule>
    <cfRule type="cellIs" dxfId="10740" priority="14752" operator="greaterThan">
      <formula>1</formula>
    </cfRule>
    <cfRule type="cellIs" dxfId="10739" priority="14753" operator="between">
      <formula>0.95</formula>
      <formula>1</formula>
    </cfRule>
    <cfRule type="cellIs" dxfId="10738" priority="14754" stopIfTrue="1" operator="between">
      <formula>0</formula>
      <formula>0.5</formula>
    </cfRule>
  </conditionalFormatting>
  <conditionalFormatting sqref="AG166">
    <cfRule type="cellIs" dxfId="10737" priority="14745" operator="between">
      <formula>0.76</formula>
      <formula>0.95</formula>
    </cfRule>
    <cfRule type="cellIs" dxfId="10736" priority="14746" operator="between">
      <formula>0.51</formula>
      <formula>0.75</formula>
    </cfRule>
    <cfRule type="cellIs" dxfId="10735" priority="14747" operator="greaterThan">
      <formula>1</formula>
    </cfRule>
    <cfRule type="cellIs" dxfId="10734" priority="14748" operator="between">
      <formula>0.95</formula>
      <formula>1</formula>
    </cfRule>
    <cfRule type="cellIs" dxfId="10733" priority="14749" stopIfTrue="1" operator="between">
      <formula>0</formula>
      <formula>0.5</formula>
    </cfRule>
  </conditionalFormatting>
  <conditionalFormatting sqref="AG167">
    <cfRule type="cellIs" dxfId="10732" priority="14740" operator="between">
      <formula>0.76</formula>
      <formula>0.95</formula>
    </cfRule>
    <cfRule type="cellIs" dxfId="10731" priority="14741" operator="between">
      <formula>0.51</formula>
      <formula>0.75</formula>
    </cfRule>
    <cfRule type="cellIs" dxfId="10730" priority="14742" operator="greaterThan">
      <formula>1</formula>
    </cfRule>
    <cfRule type="cellIs" dxfId="10729" priority="14743" operator="between">
      <formula>0.95</formula>
      <formula>1</formula>
    </cfRule>
    <cfRule type="cellIs" dxfId="10728" priority="14744" stopIfTrue="1" operator="between">
      <formula>0</formula>
      <formula>0.5</formula>
    </cfRule>
  </conditionalFormatting>
  <conditionalFormatting sqref="AG168:AG169 AG171">
    <cfRule type="cellIs" dxfId="10727" priority="14720" operator="between">
      <formula>0.76</formula>
      <formula>0.95</formula>
    </cfRule>
    <cfRule type="cellIs" dxfId="10726" priority="14721" operator="between">
      <formula>0.51</formula>
      <formula>0.75</formula>
    </cfRule>
    <cfRule type="cellIs" dxfId="10725" priority="14722" operator="greaterThan">
      <formula>1</formula>
    </cfRule>
    <cfRule type="cellIs" dxfId="10724" priority="14723" operator="between">
      <formula>0.95</formula>
      <formula>1</formula>
    </cfRule>
    <cfRule type="cellIs" dxfId="10723" priority="14724" stopIfTrue="1" operator="between">
      <formula>0</formula>
      <formula>0.5</formula>
    </cfRule>
  </conditionalFormatting>
  <conditionalFormatting sqref="R256:S260 Y256:Z260 AF256:AI260">
    <cfRule type="cellIs" dxfId="10722" priority="14662" operator="between">
      <formula>0.76</formula>
      <formula>0.95</formula>
    </cfRule>
    <cfRule type="cellIs" dxfId="10721" priority="14663" operator="between">
      <formula>0.51</formula>
      <formula>0.75</formula>
    </cfRule>
    <cfRule type="cellIs" dxfId="10720" priority="14664" operator="greaterThan">
      <formula>1</formula>
    </cfRule>
    <cfRule type="cellIs" dxfId="10719" priority="14665" operator="between">
      <formula>0.95</formula>
      <formula>1</formula>
    </cfRule>
    <cfRule type="cellIs" dxfId="10718" priority="14666" stopIfTrue="1" operator="between">
      <formula>0</formula>
      <formula>0.5</formula>
    </cfRule>
  </conditionalFormatting>
  <conditionalFormatting sqref="T256:T260">
    <cfRule type="cellIs" dxfId="10717" priority="14657" operator="between">
      <formula>0.3751</formula>
      <formula>0.475</formula>
    </cfRule>
    <cfRule type="cellIs" dxfId="10716" priority="14658" operator="between">
      <formula>0.2551</formula>
      <formula>0.375</formula>
    </cfRule>
    <cfRule type="cellIs" dxfId="10715" priority="14659" operator="greaterThan">
      <formula>0.505</formula>
    </cfRule>
    <cfRule type="cellIs" dxfId="10714" priority="14660" operator="between">
      <formula>0.48</formula>
      <formula>0.5</formula>
    </cfRule>
    <cfRule type="cellIs" dxfId="10713" priority="14661" stopIfTrue="1" operator="between">
      <formula>0</formula>
      <formula>0.255</formula>
    </cfRule>
  </conditionalFormatting>
  <conditionalFormatting sqref="AA256:AC260">
    <cfRule type="cellIs" dxfId="10712" priority="14652" operator="between">
      <formula>0.56251</formula>
      <formula>0.7125</formula>
    </cfRule>
    <cfRule type="cellIs" dxfId="10711" priority="14653" operator="between">
      <formula>0.3751</formula>
      <formula>0.5625</formula>
    </cfRule>
    <cfRule type="cellIs" dxfId="10710" priority="14654" operator="greaterThan">
      <formula>0.751</formula>
    </cfRule>
    <cfRule type="cellIs" dxfId="10709" priority="14655" operator="between">
      <formula>0.71251</formula>
      <formula>0.75</formula>
    </cfRule>
    <cfRule type="cellIs" dxfId="10708" priority="14656" stopIfTrue="1" operator="between">
      <formula>0</formula>
      <formula>0.375</formula>
    </cfRule>
  </conditionalFormatting>
  <conditionalFormatting sqref="U256:V260">
    <cfRule type="cellIs" dxfId="10707" priority="14642" operator="between">
      <formula>0.376</formula>
      <formula>0.475</formula>
    </cfRule>
    <cfRule type="cellIs" dxfId="10706" priority="14643" operator="between">
      <formula>0.2551</formula>
      <formula>0.3751</formula>
    </cfRule>
    <cfRule type="cellIs" dxfId="10705" priority="14644" operator="greaterThan">
      <formula>0.505</formula>
    </cfRule>
    <cfRule type="cellIs" dxfId="10704" priority="14645" operator="between">
      <formula>0.48</formula>
      <formula>0.5</formula>
    </cfRule>
    <cfRule type="cellIs" dxfId="10703" priority="14646" stopIfTrue="1" operator="between">
      <formula>0</formula>
      <formula>0.255</formula>
    </cfRule>
  </conditionalFormatting>
  <conditionalFormatting sqref="AF67 R67 Y67 AH67:AI67">
    <cfRule type="cellIs" dxfId="10702" priority="14624" operator="between">
      <formula>0.76</formula>
      <formula>0.95</formula>
    </cfRule>
    <cfRule type="cellIs" dxfId="10701" priority="14625" operator="between">
      <formula>0.51</formula>
      <formula>0.75</formula>
    </cfRule>
    <cfRule type="cellIs" dxfId="10700" priority="14626" operator="greaterThan">
      <formula>1</formula>
    </cfRule>
    <cfRule type="cellIs" dxfId="10699" priority="14627" operator="between">
      <formula>0.95</formula>
      <formula>1</formula>
    </cfRule>
    <cfRule type="cellIs" dxfId="10698" priority="14628" stopIfTrue="1" operator="between">
      <formula>0</formula>
      <formula>0.5</formula>
    </cfRule>
  </conditionalFormatting>
  <conditionalFormatting sqref="T67">
    <cfRule type="cellIs" dxfId="10697" priority="14619" operator="between">
      <formula>0.3751</formula>
      <formula>0.475</formula>
    </cfRule>
    <cfRule type="cellIs" dxfId="10696" priority="14620" operator="between">
      <formula>0.2551</formula>
      <formula>0.375</formula>
    </cfRule>
    <cfRule type="cellIs" dxfId="10695" priority="14621" operator="greaterThan">
      <formula>0.505</formula>
    </cfRule>
    <cfRule type="cellIs" dxfId="10694" priority="14622" operator="between">
      <formula>0.48</formula>
      <formula>0.5</formula>
    </cfRule>
    <cfRule type="cellIs" dxfId="10693" priority="14623" stopIfTrue="1" operator="between">
      <formula>0</formula>
      <formula>0.255</formula>
    </cfRule>
  </conditionalFormatting>
  <conditionalFormatting sqref="AA67:AB67">
    <cfRule type="cellIs" dxfId="10692" priority="14614" operator="between">
      <formula>0.56251</formula>
      <formula>0.7125</formula>
    </cfRule>
    <cfRule type="cellIs" dxfId="10691" priority="14615" operator="between">
      <formula>0.3751</formula>
      <formula>0.5625</formula>
    </cfRule>
    <cfRule type="cellIs" dxfId="10690" priority="14616" operator="greaterThan">
      <formula>0.751</formula>
    </cfRule>
    <cfRule type="cellIs" dxfId="10689" priority="14617" operator="between">
      <formula>0.71251</formula>
      <formula>0.75</formula>
    </cfRule>
    <cfRule type="cellIs" dxfId="10688" priority="14618" stopIfTrue="1" operator="between">
      <formula>0</formula>
      <formula>0.375</formula>
    </cfRule>
  </conditionalFormatting>
  <conditionalFormatting sqref="U67">
    <cfRule type="cellIs" dxfId="10687" priority="14604" operator="between">
      <formula>0.376</formula>
      <formula>0.475</formula>
    </cfRule>
    <cfRule type="cellIs" dxfId="10686" priority="14605" operator="between">
      <formula>0.2551</formula>
      <formula>0.3751</formula>
    </cfRule>
    <cfRule type="cellIs" dxfId="10685" priority="14606" operator="greaterThan">
      <formula>0.505</formula>
    </cfRule>
    <cfRule type="cellIs" dxfId="10684" priority="14607" operator="between">
      <formula>0.48</formula>
      <formula>0.5</formula>
    </cfRule>
    <cfRule type="cellIs" dxfId="10683" priority="14608" stopIfTrue="1" operator="between">
      <formula>0</formula>
      <formula>0.255</formula>
    </cfRule>
  </conditionalFormatting>
  <conditionalFormatting sqref="Z67">
    <cfRule type="cellIs" dxfId="10682" priority="14584" operator="between">
      <formula>0.76</formula>
      <formula>0.95</formula>
    </cfRule>
    <cfRule type="cellIs" dxfId="10681" priority="14585" operator="between">
      <formula>0.51</formula>
      <formula>0.75</formula>
    </cfRule>
    <cfRule type="cellIs" dxfId="10680" priority="14586" operator="greaterThan">
      <formula>1</formula>
    </cfRule>
    <cfRule type="cellIs" dxfId="10679" priority="14587" operator="between">
      <formula>0.95</formula>
      <formula>1</formula>
    </cfRule>
    <cfRule type="cellIs" dxfId="10678" priority="14588" stopIfTrue="1" operator="between">
      <formula>0</formula>
      <formula>0.5</formula>
    </cfRule>
  </conditionalFormatting>
  <conditionalFormatting sqref="AC67">
    <cfRule type="cellIs" dxfId="10677" priority="14579" operator="between">
      <formula>0.56251</formula>
      <formula>0.7125</formula>
    </cfRule>
    <cfRule type="cellIs" dxfId="10676" priority="14580" operator="between">
      <formula>0.3751</formula>
      <formula>0.5625</formula>
    </cfRule>
    <cfRule type="cellIs" dxfId="10675" priority="14581" operator="greaterThan">
      <formula>0.751</formula>
    </cfRule>
    <cfRule type="cellIs" dxfId="10674" priority="14582" operator="between">
      <formula>0.71251</formula>
      <formula>0.75</formula>
    </cfRule>
    <cfRule type="cellIs" dxfId="10673" priority="14583" stopIfTrue="1" operator="between">
      <formula>0</formula>
      <formula>0.375</formula>
    </cfRule>
  </conditionalFormatting>
  <conditionalFormatting sqref="S67">
    <cfRule type="cellIs" dxfId="10672" priority="14554" operator="between">
      <formula>0.76</formula>
      <formula>0.95</formula>
    </cfRule>
    <cfRule type="cellIs" dxfId="10671" priority="14555" operator="between">
      <formula>0.51</formula>
      <formula>0.75</formula>
    </cfRule>
    <cfRule type="cellIs" dxfId="10670" priority="14556" operator="greaterThan">
      <formula>1</formula>
    </cfRule>
    <cfRule type="cellIs" dxfId="10669" priority="14557" operator="between">
      <formula>0.95</formula>
      <formula>1</formula>
    </cfRule>
    <cfRule type="cellIs" dxfId="10668" priority="14558" stopIfTrue="1" operator="between">
      <formula>0</formula>
      <formula>0.5</formula>
    </cfRule>
  </conditionalFormatting>
  <conditionalFormatting sqref="V67">
    <cfRule type="cellIs" dxfId="10667" priority="14549" operator="between">
      <formula>0.376</formula>
      <formula>0.475</formula>
    </cfRule>
    <cfRule type="cellIs" dxfId="10666" priority="14550" operator="between">
      <formula>0.2551</formula>
      <formula>0.3751</formula>
    </cfRule>
    <cfRule type="cellIs" dxfId="10665" priority="14551" operator="greaterThan">
      <formula>0.505</formula>
    </cfRule>
    <cfRule type="cellIs" dxfId="10664" priority="14552" operator="between">
      <formula>0.48</formula>
      <formula>0.5</formula>
    </cfRule>
    <cfRule type="cellIs" dxfId="10663" priority="14553" stopIfTrue="1" operator="between">
      <formula>0</formula>
      <formula>0.255</formula>
    </cfRule>
  </conditionalFormatting>
  <conditionalFormatting sqref="AG67">
    <cfRule type="cellIs" dxfId="10662" priority="14544" operator="between">
      <formula>0.76</formula>
      <formula>0.95</formula>
    </cfRule>
    <cfRule type="cellIs" dxfId="10661" priority="14545" operator="between">
      <formula>0.51</formula>
      <formula>0.75</formula>
    </cfRule>
    <cfRule type="cellIs" dxfId="10660" priority="14546" operator="greaterThan">
      <formula>1</formula>
    </cfRule>
    <cfRule type="cellIs" dxfId="10659" priority="14547" operator="between">
      <formula>0.95</formula>
      <formula>1</formula>
    </cfRule>
    <cfRule type="cellIs" dxfId="10658" priority="14548" stopIfTrue="1" operator="between">
      <formula>0</formula>
      <formula>0.5</formula>
    </cfRule>
  </conditionalFormatting>
  <conditionalFormatting sqref="R261:S261 Y261:Z261 AF261:AI261">
    <cfRule type="cellIs" dxfId="10657" priority="14539" operator="between">
      <formula>0.76</formula>
      <formula>0.95</formula>
    </cfRule>
    <cfRule type="cellIs" dxfId="10656" priority="14540" operator="between">
      <formula>0.51</formula>
      <formula>0.75</formula>
    </cfRule>
    <cfRule type="cellIs" dxfId="10655" priority="14541" operator="greaterThan">
      <formula>1</formula>
    </cfRule>
    <cfRule type="cellIs" dxfId="10654" priority="14542" operator="between">
      <formula>0.95</formula>
      <formula>1</formula>
    </cfRule>
    <cfRule type="cellIs" dxfId="10653" priority="14543" stopIfTrue="1" operator="between">
      <formula>0</formula>
      <formula>0.5</formula>
    </cfRule>
  </conditionalFormatting>
  <conditionalFormatting sqref="T261">
    <cfRule type="cellIs" dxfId="10652" priority="14534" operator="between">
      <formula>0.3751</formula>
      <formula>0.475</formula>
    </cfRule>
    <cfRule type="cellIs" dxfId="10651" priority="14535" operator="between">
      <formula>0.2551</formula>
      <formula>0.375</formula>
    </cfRule>
    <cfRule type="cellIs" dxfId="10650" priority="14536" operator="greaterThan">
      <formula>0.505</formula>
    </cfRule>
    <cfRule type="cellIs" dxfId="10649" priority="14537" operator="between">
      <formula>0.48</formula>
      <formula>0.5</formula>
    </cfRule>
    <cfRule type="cellIs" dxfId="10648" priority="14538" stopIfTrue="1" operator="between">
      <formula>0</formula>
      <formula>0.255</formula>
    </cfRule>
  </conditionalFormatting>
  <conditionalFormatting sqref="AA261:AB261">
    <cfRule type="cellIs" dxfId="10647" priority="14529" operator="between">
      <formula>0.56251</formula>
      <formula>0.7125</formula>
    </cfRule>
    <cfRule type="cellIs" dxfId="10646" priority="14530" operator="between">
      <formula>0.3751</formula>
      <formula>0.5625</formula>
    </cfRule>
    <cfRule type="cellIs" dxfId="10645" priority="14531" operator="greaterThan">
      <formula>0.751</formula>
    </cfRule>
    <cfRule type="cellIs" dxfId="10644" priority="14532" operator="between">
      <formula>0.71251</formula>
      <formula>0.75</formula>
    </cfRule>
    <cfRule type="cellIs" dxfId="10643" priority="14533" stopIfTrue="1" operator="between">
      <formula>0</formula>
      <formula>0.375</formula>
    </cfRule>
  </conditionalFormatting>
  <conditionalFormatting sqref="U261">
    <cfRule type="cellIs" dxfId="10642" priority="14519" operator="between">
      <formula>0.376</formula>
      <formula>0.475</formula>
    </cfRule>
    <cfRule type="cellIs" dxfId="10641" priority="14520" operator="between">
      <formula>0.2551</formula>
      <formula>0.3751</formula>
    </cfRule>
    <cfRule type="cellIs" dxfId="10640" priority="14521" operator="greaterThan">
      <formula>0.505</formula>
    </cfRule>
    <cfRule type="cellIs" dxfId="10639" priority="14522" operator="between">
      <formula>0.48</formula>
      <formula>0.5</formula>
    </cfRule>
    <cfRule type="cellIs" dxfId="10638" priority="14523" stopIfTrue="1" operator="between">
      <formula>0</formula>
      <formula>0.255</formula>
    </cfRule>
  </conditionalFormatting>
  <conditionalFormatting sqref="AF68 R68 Y68 AH68:AI68">
    <cfRule type="cellIs" dxfId="10637" priority="14511" operator="between">
      <formula>0.76</formula>
      <formula>0.95</formula>
    </cfRule>
    <cfRule type="cellIs" dxfId="10636" priority="14512" operator="between">
      <formula>0.51</formula>
      <formula>0.75</formula>
    </cfRule>
    <cfRule type="cellIs" dxfId="10635" priority="14513" operator="greaterThan">
      <formula>1</formula>
    </cfRule>
    <cfRule type="cellIs" dxfId="10634" priority="14514" operator="between">
      <formula>0.95</formula>
      <formula>1</formula>
    </cfRule>
    <cfRule type="cellIs" dxfId="10633" priority="14515" stopIfTrue="1" operator="between">
      <formula>0</formula>
      <formula>0.5</formula>
    </cfRule>
  </conditionalFormatting>
  <conditionalFormatting sqref="T68">
    <cfRule type="cellIs" dxfId="10632" priority="14506" operator="between">
      <formula>0.3751</formula>
      <formula>0.475</formula>
    </cfRule>
    <cfRule type="cellIs" dxfId="10631" priority="14507" operator="between">
      <formula>0.2551</formula>
      <formula>0.375</formula>
    </cfRule>
    <cfRule type="cellIs" dxfId="10630" priority="14508" operator="greaterThan">
      <formula>0.505</formula>
    </cfRule>
    <cfRule type="cellIs" dxfId="10629" priority="14509" operator="between">
      <formula>0.48</formula>
      <formula>0.5</formula>
    </cfRule>
    <cfRule type="cellIs" dxfId="10628" priority="14510" stopIfTrue="1" operator="between">
      <formula>0</formula>
      <formula>0.255</formula>
    </cfRule>
  </conditionalFormatting>
  <conditionalFormatting sqref="AA68:AB68">
    <cfRule type="cellIs" dxfId="10627" priority="14501" operator="between">
      <formula>0.56251</formula>
      <formula>0.7125</formula>
    </cfRule>
    <cfRule type="cellIs" dxfId="10626" priority="14502" operator="between">
      <formula>0.3751</formula>
      <formula>0.5625</formula>
    </cfRule>
    <cfRule type="cellIs" dxfId="10625" priority="14503" operator="greaterThan">
      <formula>0.751</formula>
    </cfRule>
    <cfRule type="cellIs" dxfId="10624" priority="14504" operator="between">
      <formula>0.71251</formula>
      <formula>0.75</formula>
    </cfRule>
    <cfRule type="cellIs" dxfId="10623" priority="14505" stopIfTrue="1" operator="between">
      <formula>0</formula>
      <formula>0.375</formula>
    </cfRule>
  </conditionalFormatting>
  <conditionalFormatting sqref="U68">
    <cfRule type="cellIs" dxfId="10622" priority="14491" operator="between">
      <formula>0.376</formula>
      <formula>0.475</formula>
    </cfRule>
    <cfRule type="cellIs" dxfId="10621" priority="14492" operator="between">
      <formula>0.2551</formula>
      <formula>0.3751</formula>
    </cfRule>
    <cfRule type="cellIs" dxfId="10620" priority="14493" operator="greaterThan">
      <formula>0.505</formula>
    </cfRule>
    <cfRule type="cellIs" dxfId="10619" priority="14494" operator="between">
      <formula>0.48</formula>
      <formula>0.5</formula>
    </cfRule>
    <cfRule type="cellIs" dxfId="10618" priority="14495" stopIfTrue="1" operator="between">
      <formula>0</formula>
      <formula>0.255</formula>
    </cfRule>
  </conditionalFormatting>
  <conditionalFormatting sqref="Z68">
    <cfRule type="cellIs" dxfId="10617" priority="14471" operator="between">
      <formula>0.76</formula>
      <formula>0.95</formula>
    </cfRule>
    <cfRule type="cellIs" dxfId="10616" priority="14472" operator="between">
      <formula>0.51</formula>
      <formula>0.75</formula>
    </cfRule>
    <cfRule type="cellIs" dxfId="10615" priority="14473" operator="greaterThan">
      <formula>1</formula>
    </cfRule>
    <cfRule type="cellIs" dxfId="10614" priority="14474" operator="between">
      <formula>0.95</formula>
      <formula>1</formula>
    </cfRule>
    <cfRule type="cellIs" dxfId="10613" priority="14475" stopIfTrue="1" operator="between">
      <formula>0</formula>
      <formula>0.5</formula>
    </cfRule>
  </conditionalFormatting>
  <conditionalFormatting sqref="AC68">
    <cfRule type="cellIs" dxfId="10612" priority="14466" operator="between">
      <formula>0.56251</formula>
      <formula>0.7125</formula>
    </cfRule>
    <cfRule type="cellIs" dxfId="10611" priority="14467" operator="between">
      <formula>0.3751</formula>
      <formula>0.5625</formula>
    </cfRule>
    <cfRule type="cellIs" dxfId="10610" priority="14468" operator="greaterThan">
      <formula>0.751</formula>
    </cfRule>
    <cfRule type="cellIs" dxfId="10609" priority="14469" operator="between">
      <formula>0.71251</formula>
      <formula>0.75</formula>
    </cfRule>
    <cfRule type="cellIs" dxfId="10608" priority="14470" stopIfTrue="1" operator="between">
      <formula>0</formula>
      <formula>0.375</formula>
    </cfRule>
  </conditionalFormatting>
  <conditionalFormatting sqref="S68">
    <cfRule type="cellIs" dxfId="10607" priority="14451" operator="between">
      <formula>0.76</formula>
      <formula>0.95</formula>
    </cfRule>
    <cfRule type="cellIs" dxfId="10606" priority="14452" operator="between">
      <formula>0.51</formula>
      <formula>0.75</formula>
    </cfRule>
    <cfRule type="cellIs" dxfId="10605" priority="14453" operator="greaterThan">
      <formula>1</formula>
    </cfRule>
    <cfRule type="cellIs" dxfId="10604" priority="14454" operator="between">
      <formula>0.95</formula>
      <formula>1</formula>
    </cfRule>
    <cfRule type="cellIs" dxfId="10603" priority="14455" stopIfTrue="1" operator="between">
      <formula>0</formula>
      <formula>0.5</formula>
    </cfRule>
  </conditionalFormatting>
  <conditionalFormatting sqref="V68">
    <cfRule type="cellIs" dxfId="10602" priority="14446" operator="between">
      <formula>0.376</formula>
      <formula>0.475</formula>
    </cfRule>
    <cfRule type="cellIs" dxfId="10601" priority="14447" operator="between">
      <formula>0.2551</formula>
      <formula>0.3751</formula>
    </cfRule>
    <cfRule type="cellIs" dxfId="10600" priority="14448" operator="greaterThan">
      <formula>0.505</formula>
    </cfRule>
    <cfRule type="cellIs" dxfId="10599" priority="14449" operator="between">
      <formula>0.48</formula>
      <formula>0.5</formula>
    </cfRule>
    <cfRule type="cellIs" dxfId="10598" priority="14450" stopIfTrue="1" operator="between">
      <formula>0</formula>
      <formula>0.255</formula>
    </cfRule>
  </conditionalFormatting>
  <conditionalFormatting sqref="AG68">
    <cfRule type="cellIs" dxfId="10597" priority="14441" operator="between">
      <formula>0.76</formula>
      <formula>0.95</formula>
    </cfRule>
    <cfRule type="cellIs" dxfId="10596" priority="14442" operator="between">
      <formula>0.51</formula>
      <formula>0.75</formula>
    </cfRule>
    <cfRule type="cellIs" dxfId="10595" priority="14443" operator="greaterThan">
      <formula>1</formula>
    </cfRule>
    <cfRule type="cellIs" dxfId="10594" priority="14444" operator="between">
      <formula>0.95</formula>
      <formula>1</formula>
    </cfRule>
    <cfRule type="cellIs" dxfId="10593" priority="14445" stopIfTrue="1" operator="between">
      <formula>0</formula>
      <formula>0.5</formula>
    </cfRule>
  </conditionalFormatting>
  <conditionalFormatting sqref="AF85:AF88 R85:R88 Y85:Y88 AH85:AI88">
    <cfRule type="cellIs" dxfId="10592" priority="14361" operator="between">
      <formula>0.76</formula>
      <formula>0.95</formula>
    </cfRule>
    <cfRule type="cellIs" dxfId="10591" priority="14362" operator="between">
      <formula>0.51</formula>
      <formula>0.75</formula>
    </cfRule>
    <cfRule type="cellIs" dxfId="10590" priority="14363" operator="greaterThan">
      <formula>1</formula>
    </cfRule>
    <cfRule type="cellIs" dxfId="10589" priority="14364" operator="between">
      <formula>0.95</formula>
      <formula>1</formula>
    </cfRule>
    <cfRule type="cellIs" dxfId="10588" priority="14365" stopIfTrue="1" operator="between">
      <formula>0</formula>
      <formula>0.5</formula>
    </cfRule>
  </conditionalFormatting>
  <conditionalFormatting sqref="T85:T88">
    <cfRule type="cellIs" dxfId="10587" priority="14356" operator="between">
      <formula>0.3751</formula>
      <formula>0.475</formula>
    </cfRule>
    <cfRule type="cellIs" dxfId="10586" priority="14357" operator="between">
      <formula>0.2551</formula>
      <formula>0.375</formula>
    </cfRule>
    <cfRule type="cellIs" dxfId="10585" priority="14358" operator="greaterThan">
      <formula>0.505</formula>
    </cfRule>
    <cfRule type="cellIs" dxfId="10584" priority="14359" operator="between">
      <formula>0.48</formula>
      <formula>0.5</formula>
    </cfRule>
    <cfRule type="cellIs" dxfId="10583" priority="14360" stopIfTrue="1" operator="between">
      <formula>0</formula>
      <formula>0.255</formula>
    </cfRule>
  </conditionalFormatting>
  <conditionalFormatting sqref="AA85:AB88">
    <cfRule type="cellIs" dxfId="10582" priority="14351" operator="between">
      <formula>0.56251</formula>
      <formula>0.7125</formula>
    </cfRule>
    <cfRule type="cellIs" dxfId="10581" priority="14352" operator="between">
      <formula>0.3751</formula>
      <formula>0.5625</formula>
    </cfRule>
    <cfRule type="cellIs" dxfId="10580" priority="14353" operator="greaterThan">
      <formula>0.751</formula>
    </cfRule>
    <cfRule type="cellIs" dxfId="10579" priority="14354" operator="between">
      <formula>0.71251</formula>
      <formula>0.75</formula>
    </cfRule>
    <cfRule type="cellIs" dxfId="10578" priority="14355" stopIfTrue="1" operator="between">
      <formula>0</formula>
      <formula>0.375</formula>
    </cfRule>
  </conditionalFormatting>
  <conditionalFormatting sqref="U85:U88">
    <cfRule type="cellIs" dxfId="10577" priority="14341" operator="between">
      <formula>0.376</formula>
      <formula>0.475</formula>
    </cfRule>
    <cfRule type="cellIs" dxfId="10576" priority="14342" operator="between">
      <formula>0.2551</formula>
      <formula>0.3751</formula>
    </cfRule>
    <cfRule type="cellIs" dxfId="10575" priority="14343" operator="greaterThan">
      <formula>0.505</formula>
    </cfRule>
    <cfRule type="cellIs" dxfId="10574" priority="14344" operator="between">
      <formula>0.48</formula>
      <formula>0.5</formula>
    </cfRule>
    <cfRule type="cellIs" dxfId="10573" priority="14345" stopIfTrue="1" operator="between">
      <formula>0</formula>
      <formula>0.255</formula>
    </cfRule>
  </conditionalFormatting>
  <conditionalFormatting sqref="Z85:Z88">
    <cfRule type="cellIs" dxfId="10572" priority="14321" operator="between">
      <formula>0.76</formula>
      <formula>0.95</formula>
    </cfRule>
    <cfRule type="cellIs" dxfId="10571" priority="14322" operator="between">
      <formula>0.51</formula>
      <formula>0.75</formula>
    </cfRule>
    <cfRule type="cellIs" dxfId="10570" priority="14323" operator="greaterThan">
      <formula>1</formula>
    </cfRule>
    <cfRule type="cellIs" dxfId="10569" priority="14324" operator="between">
      <formula>0.95</formula>
      <formula>1</formula>
    </cfRule>
    <cfRule type="cellIs" dxfId="10568" priority="14325" stopIfTrue="1" operator="between">
      <formula>0</formula>
      <formula>0.5</formula>
    </cfRule>
  </conditionalFormatting>
  <conditionalFormatting sqref="AC85:AC88">
    <cfRule type="cellIs" dxfId="10567" priority="14316" operator="between">
      <formula>0.56251</formula>
      <formula>0.7125</formula>
    </cfRule>
    <cfRule type="cellIs" dxfId="10566" priority="14317" operator="between">
      <formula>0.3751</formula>
      <formula>0.5625</formula>
    </cfRule>
    <cfRule type="cellIs" dxfId="10565" priority="14318" operator="greaterThan">
      <formula>0.751</formula>
    </cfRule>
    <cfRule type="cellIs" dxfId="10564" priority="14319" operator="between">
      <formula>0.71251</formula>
      <formula>0.75</formula>
    </cfRule>
    <cfRule type="cellIs" dxfId="10563" priority="14320" stopIfTrue="1" operator="between">
      <formula>0</formula>
      <formula>0.375</formula>
    </cfRule>
  </conditionalFormatting>
  <conditionalFormatting sqref="S85:S88">
    <cfRule type="cellIs" dxfId="10562" priority="14301" operator="between">
      <formula>0.76</formula>
      <formula>0.95</formula>
    </cfRule>
    <cfRule type="cellIs" dxfId="10561" priority="14302" operator="between">
      <formula>0.51</formula>
      <formula>0.75</formula>
    </cfRule>
    <cfRule type="cellIs" dxfId="10560" priority="14303" operator="greaterThan">
      <formula>1</formula>
    </cfRule>
    <cfRule type="cellIs" dxfId="10559" priority="14304" operator="between">
      <formula>0.95</formula>
      <formula>1</formula>
    </cfRule>
    <cfRule type="cellIs" dxfId="10558" priority="14305" stopIfTrue="1" operator="between">
      <formula>0</formula>
      <formula>0.5</formula>
    </cfRule>
  </conditionalFormatting>
  <conditionalFormatting sqref="V85:V88">
    <cfRule type="cellIs" dxfId="10557" priority="14296" operator="between">
      <formula>0.376</formula>
      <formula>0.475</formula>
    </cfRule>
    <cfRule type="cellIs" dxfId="10556" priority="14297" operator="between">
      <formula>0.2551</formula>
      <formula>0.3751</formula>
    </cfRule>
    <cfRule type="cellIs" dxfId="10555" priority="14298" operator="greaterThan">
      <formula>0.505</formula>
    </cfRule>
    <cfRule type="cellIs" dxfId="10554" priority="14299" operator="between">
      <formula>0.48</formula>
      <formula>0.5</formula>
    </cfRule>
    <cfRule type="cellIs" dxfId="10553" priority="14300" stopIfTrue="1" operator="between">
      <formula>0</formula>
      <formula>0.255</formula>
    </cfRule>
  </conditionalFormatting>
  <conditionalFormatting sqref="AG85:AG88">
    <cfRule type="cellIs" dxfId="10552" priority="14291" operator="between">
      <formula>0.76</formula>
      <formula>0.95</formula>
    </cfRule>
    <cfRule type="cellIs" dxfId="10551" priority="14292" operator="between">
      <formula>0.51</formula>
      <formula>0.75</formula>
    </cfRule>
    <cfRule type="cellIs" dxfId="10550" priority="14293" operator="greaterThan">
      <formula>1</formula>
    </cfRule>
    <cfRule type="cellIs" dxfId="10549" priority="14294" operator="between">
      <formula>0.95</formula>
      <formula>1</formula>
    </cfRule>
    <cfRule type="cellIs" dxfId="10548" priority="14295" stopIfTrue="1" operator="between">
      <formula>0</formula>
      <formula>0.5</formula>
    </cfRule>
  </conditionalFormatting>
  <conditionalFormatting sqref="AF92 R92 Y92 AH92:AI92">
    <cfRule type="cellIs" dxfId="10547" priority="14286" operator="between">
      <formula>0.76</formula>
      <formula>0.95</formula>
    </cfRule>
    <cfRule type="cellIs" dxfId="10546" priority="14287" operator="between">
      <formula>0.51</formula>
      <formula>0.75</formula>
    </cfRule>
    <cfRule type="cellIs" dxfId="10545" priority="14288" operator="greaterThan">
      <formula>1</formula>
    </cfRule>
    <cfRule type="cellIs" dxfId="10544" priority="14289" operator="between">
      <formula>0.95</formula>
      <formula>1</formula>
    </cfRule>
    <cfRule type="cellIs" dxfId="10543" priority="14290" stopIfTrue="1" operator="between">
      <formula>0</formula>
      <formula>0.5</formula>
    </cfRule>
  </conditionalFormatting>
  <conditionalFormatting sqref="T92">
    <cfRule type="cellIs" dxfId="10542" priority="14281" operator="between">
      <formula>0.3751</formula>
      <formula>0.475</formula>
    </cfRule>
    <cfRule type="cellIs" dxfId="10541" priority="14282" operator="between">
      <formula>0.2551</formula>
      <formula>0.375</formula>
    </cfRule>
    <cfRule type="cellIs" dxfId="10540" priority="14283" operator="greaterThan">
      <formula>0.505</formula>
    </cfRule>
    <cfRule type="cellIs" dxfId="10539" priority="14284" operator="between">
      <formula>0.48</formula>
      <formula>0.5</formula>
    </cfRule>
    <cfRule type="cellIs" dxfId="10538" priority="14285" stopIfTrue="1" operator="between">
      <formula>0</formula>
      <formula>0.255</formula>
    </cfRule>
  </conditionalFormatting>
  <conditionalFormatting sqref="AA92:AB92">
    <cfRule type="cellIs" dxfId="10537" priority="14276" operator="between">
      <formula>0.56251</formula>
      <formula>0.7125</formula>
    </cfRule>
    <cfRule type="cellIs" dxfId="10536" priority="14277" operator="between">
      <formula>0.3751</formula>
      <formula>0.5625</formula>
    </cfRule>
    <cfRule type="cellIs" dxfId="10535" priority="14278" operator="greaterThan">
      <formula>0.751</formula>
    </cfRule>
    <cfRule type="cellIs" dxfId="10534" priority="14279" operator="between">
      <formula>0.71251</formula>
      <formula>0.75</formula>
    </cfRule>
    <cfRule type="cellIs" dxfId="10533" priority="14280" stopIfTrue="1" operator="between">
      <formula>0</formula>
      <formula>0.375</formula>
    </cfRule>
  </conditionalFormatting>
  <conditionalFormatting sqref="U92">
    <cfRule type="cellIs" dxfId="10532" priority="14266" operator="between">
      <formula>0.376</formula>
      <formula>0.475</formula>
    </cfRule>
    <cfRule type="cellIs" dxfId="10531" priority="14267" operator="between">
      <formula>0.2551</formula>
      <formula>0.3751</formula>
    </cfRule>
    <cfRule type="cellIs" dxfId="10530" priority="14268" operator="greaterThan">
      <formula>0.505</formula>
    </cfRule>
    <cfRule type="cellIs" dxfId="10529" priority="14269" operator="between">
      <formula>0.48</formula>
      <formula>0.5</formula>
    </cfRule>
    <cfRule type="cellIs" dxfId="10528" priority="14270" stopIfTrue="1" operator="between">
      <formula>0</formula>
      <formula>0.255</formula>
    </cfRule>
  </conditionalFormatting>
  <conditionalFormatting sqref="Z92">
    <cfRule type="cellIs" dxfId="10527" priority="14246" operator="between">
      <formula>0.76</formula>
      <formula>0.95</formula>
    </cfRule>
    <cfRule type="cellIs" dxfId="10526" priority="14247" operator="between">
      <formula>0.51</formula>
      <formula>0.75</formula>
    </cfRule>
    <cfRule type="cellIs" dxfId="10525" priority="14248" operator="greaterThan">
      <formula>1</formula>
    </cfRule>
    <cfRule type="cellIs" dxfId="10524" priority="14249" operator="between">
      <formula>0.95</formula>
      <formula>1</formula>
    </cfRule>
    <cfRule type="cellIs" dxfId="10523" priority="14250" stopIfTrue="1" operator="between">
      <formula>0</formula>
      <formula>0.5</formula>
    </cfRule>
  </conditionalFormatting>
  <conditionalFormatting sqref="AC92">
    <cfRule type="cellIs" dxfId="10522" priority="14241" operator="between">
      <formula>0.56251</formula>
      <formula>0.7125</formula>
    </cfRule>
    <cfRule type="cellIs" dxfId="10521" priority="14242" operator="between">
      <formula>0.3751</formula>
      <formula>0.5625</formula>
    </cfRule>
    <cfRule type="cellIs" dxfId="10520" priority="14243" operator="greaterThan">
      <formula>0.751</formula>
    </cfRule>
    <cfRule type="cellIs" dxfId="10519" priority="14244" operator="between">
      <formula>0.71251</formula>
      <formula>0.75</formula>
    </cfRule>
    <cfRule type="cellIs" dxfId="10518" priority="14245" stopIfTrue="1" operator="between">
      <formula>0</formula>
      <formula>0.375</formula>
    </cfRule>
  </conditionalFormatting>
  <conditionalFormatting sqref="S92">
    <cfRule type="cellIs" dxfId="10517" priority="14211" operator="between">
      <formula>0.76</formula>
      <formula>0.95</formula>
    </cfRule>
    <cfRule type="cellIs" dxfId="10516" priority="14212" operator="between">
      <formula>0.51</formula>
      <formula>0.75</formula>
    </cfRule>
    <cfRule type="cellIs" dxfId="10515" priority="14213" operator="greaterThan">
      <formula>1</formula>
    </cfRule>
    <cfRule type="cellIs" dxfId="10514" priority="14214" operator="between">
      <formula>0.95</formula>
      <formula>1</formula>
    </cfRule>
    <cfRule type="cellIs" dxfId="10513" priority="14215" stopIfTrue="1" operator="between">
      <formula>0</formula>
      <formula>0.5</formula>
    </cfRule>
  </conditionalFormatting>
  <conditionalFormatting sqref="V92">
    <cfRule type="cellIs" dxfId="10512" priority="14196" operator="between">
      <formula>0.376</formula>
      <formula>0.475</formula>
    </cfRule>
    <cfRule type="cellIs" dxfId="10511" priority="14197" operator="between">
      <formula>0.2551</formula>
      <formula>0.3751</formula>
    </cfRule>
    <cfRule type="cellIs" dxfId="10510" priority="14198" operator="greaterThan">
      <formula>0.505</formula>
    </cfRule>
    <cfRule type="cellIs" dxfId="10509" priority="14199" operator="between">
      <formula>0.48</formula>
      <formula>0.5</formula>
    </cfRule>
    <cfRule type="cellIs" dxfId="10508" priority="14200" stopIfTrue="1" operator="between">
      <formula>0</formula>
      <formula>0.255</formula>
    </cfRule>
  </conditionalFormatting>
  <conditionalFormatting sqref="AF98 R98 Y98 AH98:AI98">
    <cfRule type="cellIs" dxfId="10507" priority="14181" operator="between">
      <formula>0.76</formula>
      <formula>0.95</formula>
    </cfRule>
    <cfRule type="cellIs" dxfId="10506" priority="14182" operator="between">
      <formula>0.51</formula>
      <formula>0.75</formula>
    </cfRule>
    <cfRule type="cellIs" dxfId="10505" priority="14183" operator="greaterThan">
      <formula>1</formula>
    </cfRule>
    <cfRule type="cellIs" dxfId="10504" priority="14184" operator="between">
      <formula>0.95</formula>
      <formula>1</formula>
    </cfRule>
    <cfRule type="cellIs" dxfId="10503" priority="14185" stopIfTrue="1" operator="between">
      <formula>0</formula>
      <formula>0.5</formula>
    </cfRule>
  </conditionalFormatting>
  <conditionalFormatting sqref="T98">
    <cfRule type="cellIs" dxfId="10502" priority="14176" operator="between">
      <formula>0.3751</formula>
      <formula>0.475</formula>
    </cfRule>
    <cfRule type="cellIs" dxfId="10501" priority="14177" operator="between">
      <formula>0.2551</formula>
      <formula>0.375</formula>
    </cfRule>
    <cfRule type="cellIs" dxfId="10500" priority="14178" operator="greaterThan">
      <formula>0.505</formula>
    </cfRule>
    <cfRule type="cellIs" dxfId="10499" priority="14179" operator="between">
      <formula>0.48</formula>
      <formula>0.5</formula>
    </cfRule>
    <cfRule type="cellIs" dxfId="10498" priority="14180" stopIfTrue="1" operator="between">
      <formula>0</formula>
      <formula>0.255</formula>
    </cfRule>
  </conditionalFormatting>
  <conditionalFormatting sqref="AA98:AB98">
    <cfRule type="cellIs" dxfId="10497" priority="14171" operator="between">
      <formula>0.56251</formula>
      <formula>0.7125</formula>
    </cfRule>
    <cfRule type="cellIs" dxfId="10496" priority="14172" operator="between">
      <formula>0.3751</formula>
      <formula>0.5625</formula>
    </cfRule>
    <cfRule type="cellIs" dxfId="10495" priority="14173" operator="greaterThan">
      <formula>0.751</formula>
    </cfRule>
    <cfRule type="cellIs" dxfId="10494" priority="14174" operator="between">
      <formula>0.71251</formula>
      <formula>0.75</formula>
    </cfRule>
    <cfRule type="cellIs" dxfId="10493" priority="14175" stopIfTrue="1" operator="between">
      <formula>0</formula>
      <formula>0.375</formula>
    </cfRule>
  </conditionalFormatting>
  <conditionalFormatting sqref="U98">
    <cfRule type="cellIs" dxfId="10492" priority="14161" operator="between">
      <formula>0.376</formula>
      <formula>0.475</formula>
    </cfRule>
    <cfRule type="cellIs" dxfId="10491" priority="14162" operator="between">
      <formula>0.2551</formula>
      <formula>0.3751</formula>
    </cfRule>
    <cfRule type="cellIs" dxfId="10490" priority="14163" operator="greaterThan">
      <formula>0.505</formula>
    </cfRule>
    <cfRule type="cellIs" dxfId="10489" priority="14164" operator="between">
      <formula>0.48</formula>
      <formula>0.5</formula>
    </cfRule>
    <cfRule type="cellIs" dxfId="10488" priority="14165" stopIfTrue="1" operator="between">
      <formula>0</formula>
      <formula>0.255</formula>
    </cfRule>
  </conditionalFormatting>
  <conditionalFormatting sqref="AC98">
    <cfRule type="cellIs" dxfId="10487" priority="14136" operator="between">
      <formula>0.56251</formula>
      <formula>0.7125</formula>
    </cfRule>
    <cfRule type="cellIs" dxfId="10486" priority="14137" operator="between">
      <formula>0.3751</formula>
      <formula>0.5625</formula>
    </cfRule>
    <cfRule type="cellIs" dxfId="10485" priority="14138" operator="greaterThan">
      <formula>0.751</formula>
    </cfRule>
    <cfRule type="cellIs" dxfId="10484" priority="14139" operator="between">
      <formula>0.71251</formula>
      <formula>0.75</formula>
    </cfRule>
    <cfRule type="cellIs" dxfId="10483" priority="14140" stopIfTrue="1" operator="between">
      <formula>0</formula>
      <formula>0.375</formula>
    </cfRule>
  </conditionalFormatting>
  <conditionalFormatting sqref="S98">
    <cfRule type="cellIs" dxfId="10482" priority="14116" operator="between">
      <formula>0.76</formula>
      <formula>0.95</formula>
    </cfRule>
    <cfRule type="cellIs" dxfId="10481" priority="14117" operator="between">
      <formula>0.51</formula>
      <formula>0.75</formula>
    </cfRule>
    <cfRule type="cellIs" dxfId="10480" priority="14118" operator="greaterThan">
      <formula>1</formula>
    </cfRule>
    <cfRule type="cellIs" dxfId="10479" priority="14119" operator="between">
      <formula>0.95</formula>
      <formula>1</formula>
    </cfRule>
    <cfRule type="cellIs" dxfId="10478" priority="14120" stopIfTrue="1" operator="between">
      <formula>0</formula>
      <formula>0.5</formula>
    </cfRule>
  </conditionalFormatting>
  <conditionalFormatting sqref="V98">
    <cfRule type="cellIs" dxfId="10477" priority="14111" operator="between">
      <formula>0.376</formula>
      <formula>0.475</formula>
    </cfRule>
    <cfRule type="cellIs" dxfId="10476" priority="14112" operator="between">
      <formula>0.2551</formula>
      <formula>0.3751</formula>
    </cfRule>
    <cfRule type="cellIs" dxfId="10475" priority="14113" operator="greaterThan">
      <formula>0.505</formula>
    </cfRule>
    <cfRule type="cellIs" dxfId="10474" priority="14114" operator="between">
      <formula>0.48</formula>
      <formula>0.5</formula>
    </cfRule>
    <cfRule type="cellIs" dxfId="10473" priority="14115" stopIfTrue="1" operator="between">
      <formula>0</formula>
      <formula>0.255</formula>
    </cfRule>
  </conditionalFormatting>
  <conditionalFormatting sqref="AH119:AI119 Y119 R118:R119 AF118:AF119">
    <cfRule type="cellIs" dxfId="10472" priority="14106" operator="between">
      <formula>0.76</formula>
      <formula>0.95</formula>
    </cfRule>
    <cfRule type="cellIs" dxfId="10471" priority="14107" operator="between">
      <formula>0.51</formula>
      <formula>0.75</formula>
    </cfRule>
    <cfRule type="cellIs" dxfId="10470" priority="14108" operator="greaterThan">
      <formula>1</formula>
    </cfRule>
    <cfRule type="cellIs" dxfId="10469" priority="14109" operator="between">
      <formula>0.95</formula>
      <formula>1</formula>
    </cfRule>
    <cfRule type="cellIs" dxfId="10468" priority="14110" stopIfTrue="1" operator="between">
      <formula>0</formula>
      <formula>0.5</formula>
    </cfRule>
  </conditionalFormatting>
  <conditionalFormatting sqref="T118:T119">
    <cfRule type="cellIs" dxfId="10467" priority="14101" operator="between">
      <formula>0.3751</formula>
      <formula>0.475</formula>
    </cfRule>
    <cfRule type="cellIs" dxfId="10466" priority="14102" operator="between">
      <formula>0.2551</formula>
      <formula>0.375</formula>
    </cfRule>
    <cfRule type="cellIs" dxfId="10465" priority="14103" operator="greaterThan">
      <formula>0.505</formula>
    </cfRule>
    <cfRule type="cellIs" dxfId="10464" priority="14104" operator="between">
      <formula>0.48</formula>
      <formula>0.5</formula>
    </cfRule>
    <cfRule type="cellIs" dxfId="10463" priority="14105" stopIfTrue="1" operator="between">
      <formula>0</formula>
      <formula>0.255</formula>
    </cfRule>
  </conditionalFormatting>
  <conditionalFormatting sqref="AA119:AB119">
    <cfRule type="cellIs" dxfId="10462" priority="14096" operator="between">
      <formula>0.56251</formula>
      <formula>0.7125</formula>
    </cfRule>
    <cfRule type="cellIs" dxfId="10461" priority="14097" operator="between">
      <formula>0.3751</formula>
      <formula>0.5625</formula>
    </cfRule>
    <cfRule type="cellIs" dxfId="10460" priority="14098" operator="greaterThan">
      <formula>0.751</formula>
    </cfRule>
    <cfRule type="cellIs" dxfId="10459" priority="14099" operator="between">
      <formula>0.71251</formula>
      <formula>0.75</formula>
    </cfRule>
    <cfRule type="cellIs" dxfId="10458" priority="14100" stopIfTrue="1" operator="between">
      <formula>0</formula>
      <formula>0.375</formula>
    </cfRule>
  </conditionalFormatting>
  <conditionalFormatting sqref="U118:U119">
    <cfRule type="cellIs" dxfId="10457" priority="14086" operator="between">
      <formula>0.376</formula>
      <formula>0.475</formula>
    </cfRule>
    <cfRule type="cellIs" dxfId="10456" priority="14087" operator="between">
      <formula>0.2551</formula>
      <formula>0.3751</formula>
    </cfRule>
    <cfRule type="cellIs" dxfId="10455" priority="14088" operator="greaterThan">
      <formula>0.505</formula>
    </cfRule>
    <cfRule type="cellIs" dxfId="10454" priority="14089" operator="between">
      <formula>0.48</formula>
      <formula>0.5</formula>
    </cfRule>
    <cfRule type="cellIs" dxfId="10453" priority="14090" stopIfTrue="1" operator="between">
      <formula>0</formula>
      <formula>0.255</formula>
    </cfRule>
  </conditionalFormatting>
  <conditionalFormatting sqref="Z119">
    <cfRule type="cellIs" dxfId="10452" priority="14066" operator="between">
      <formula>0.76</formula>
      <formula>0.95</formula>
    </cfRule>
    <cfRule type="cellIs" dxfId="10451" priority="14067" operator="between">
      <formula>0.51</formula>
      <formula>0.75</formula>
    </cfRule>
    <cfRule type="cellIs" dxfId="10450" priority="14068" operator="greaterThan">
      <formula>1</formula>
    </cfRule>
    <cfRule type="cellIs" dxfId="10449" priority="14069" operator="between">
      <formula>0.95</formula>
      <formula>1</formula>
    </cfRule>
    <cfRule type="cellIs" dxfId="10448" priority="14070" stopIfTrue="1" operator="between">
      <formula>0</formula>
      <formula>0.5</formula>
    </cfRule>
  </conditionalFormatting>
  <conditionalFormatting sqref="AC119">
    <cfRule type="cellIs" dxfId="10447" priority="14061" operator="between">
      <formula>0.56251</formula>
      <formula>0.7125</formula>
    </cfRule>
    <cfRule type="cellIs" dxfId="10446" priority="14062" operator="between">
      <formula>0.3751</formula>
      <formula>0.5625</formula>
    </cfRule>
    <cfRule type="cellIs" dxfId="10445" priority="14063" operator="greaterThan">
      <formula>0.751</formula>
    </cfRule>
    <cfRule type="cellIs" dxfId="10444" priority="14064" operator="between">
      <formula>0.71251</formula>
      <formula>0.75</formula>
    </cfRule>
    <cfRule type="cellIs" dxfId="10443" priority="14065" stopIfTrue="1" operator="between">
      <formula>0</formula>
      <formula>0.375</formula>
    </cfRule>
  </conditionalFormatting>
  <conditionalFormatting sqref="S118:S119">
    <cfRule type="cellIs" dxfId="10442" priority="14041" operator="between">
      <formula>0.76</formula>
      <formula>0.95</formula>
    </cfRule>
    <cfRule type="cellIs" dxfId="10441" priority="14042" operator="between">
      <formula>0.51</formula>
      <formula>0.75</formula>
    </cfRule>
    <cfRule type="cellIs" dxfId="10440" priority="14043" operator="greaterThan">
      <formula>1</formula>
    </cfRule>
    <cfRule type="cellIs" dxfId="10439" priority="14044" operator="between">
      <formula>0.95</formula>
      <formula>1</formula>
    </cfRule>
    <cfRule type="cellIs" dxfId="10438" priority="14045" stopIfTrue="1" operator="between">
      <formula>0</formula>
      <formula>0.5</formula>
    </cfRule>
  </conditionalFormatting>
  <conditionalFormatting sqref="V118:V119">
    <cfRule type="cellIs" dxfId="10437" priority="14036" operator="between">
      <formula>0.376</formula>
      <formula>0.475</formula>
    </cfRule>
    <cfRule type="cellIs" dxfId="10436" priority="14037" operator="between">
      <formula>0.2551</formula>
      <formula>0.3751</formula>
    </cfRule>
    <cfRule type="cellIs" dxfId="10435" priority="14038" operator="greaterThan">
      <formula>0.505</formula>
    </cfRule>
    <cfRule type="cellIs" dxfId="10434" priority="14039" operator="between">
      <formula>0.48</formula>
      <formula>0.5</formula>
    </cfRule>
    <cfRule type="cellIs" dxfId="10433" priority="14040" stopIfTrue="1" operator="between">
      <formula>0</formula>
      <formula>0.255</formula>
    </cfRule>
  </conditionalFormatting>
  <conditionalFormatting sqref="AG119">
    <cfRule type="cellIs" dxfId="10432" priority="13966" operator="between">
      <formula>0.76</formula>
      <formula>0.95</formula>
    </cfRule>
    <cfRule type="cellIs" dxfId="10431" priority="13967" operator="between">
      <formula>0.51</formula>
      <formula>0.75</formula>
    </cfRule>
    <cfRule type="cellIs" dxfId="10430" priority="13968" operator="greaterThan">
      <formula>1</formula>
    </cfRule>
    <cfRule type="cellIs" dxfId="10429" priority="13969" operator="between">
      <formula>0.95</formula>
      <formula>1</formula>
    </cfRule>
    <cfRule type="cellIs" dxfId="10428" priority="13970" stopIfTrue="1" operator="between">
      <formula>0</formula>
      <formula>0.5</formula>
    </cfRule>
  </conditionalFormatting>
  <conditionalFormatting sqref="Z122">
    <cfRule type="cellIs" dxfId="10427" priority="13771" operator="between">
      <formula>0.76</formula>
      <formula>0.95</formula>
    </cfRule>
    <cfRule type="cellIs" dxfId="10426" priority="13772" operator="between">
      <formula>0.51</formula>
      <formula>0.75</formula>
    </cfRule>
    <cfRule type="cellIs" dxfId="10425" priority="13773" operator="greaterThan">
      <formula>1</formula>
    </cfRule>
    <cfRule type="cellIs" dxfId="10424" priority="13774" operator="between">
      <formula>0.95</formula>
      <formula>1</formula>
    </cfRule>
    <cfRule type="cellIs" dxfId="10423" priority="13775" stopIfTrue="1" operator="between">
      <formula>0</formula>
      <formula>0.5</formula>
    </cfRule>
  </conditionalFormatting>
  <conditionalFormatting sqref="AF122 R122 Y122 AH122:AI122">
    <cfRule type="cellIs" dxfId="10422" priority="13856" operator="between">
      <formula>0.76</formula>
      <formula>0.95</formula>
    </cfRule>
    <cfRule type="cellIs" dxfId="10421" priority="13857" operator="between">
      <formula>0.51</formula>
      <formula>0.75</formula>
    </cfRule>
    <cfRule type="cellIs" dxfId="10420" priority="13858" operator="greaterThan">
      <formula>1</formula>
    </cfRule>
    <cfRule type="cellIs" dxfId="10419" priority="13859" operator="between">
      <formula>0.95</formula>
      <formula>1</formula>
    </cfRule>
    <cfRule type="cellIs" dxfId="10418" priority="13860" stopIfTrue="1" operator="between">
      <formula>0</formula>
      <formula>0.5</formula>
    </cfRule>
  </conditionalFormatting>
  <conditionalFormatting sqref="T122">
    <cfRule type="cellIs" dxfId="10417" priority="13851" operator="between">
      <formula>0.3751</formula>
      <formula>0.475</formula>
    </cfRule>
    <cfRule type="cellIs" dxfId="10416" priority="13852" operator="between">
      <formula>0.2551</formula>
      <formula>0.375</formula>
    </cfRule>
    <cfRule type="cellIs" dxfId="10415" priority="13853" operator="greaterThan">
      <formula>0.505</formula>
    </cfRule>
    <cfRule type="cellIs" dxfId="10414" priority="13854" operator="between">
      <formula>0.48</formula>
      <formula>0.5</formula>
    </cfRule>
    <cfRule type="cellIs" dxfId="10413" priority="13855" stopIfTrue="1" operator="between">
      <formula>0</formula>
      <formula>0.255</formula>
    </cfRule>
  </conditionalFormatting>
  <conditionalFormatting sqref="AA122:AB122">
    <cfRule type="cellIs" dxfId="10412" priority="13846" operator="between">
      <formula>0.56251</formula>
      <formula>0.7125</formula>
    </cfRule>
    <cfRule type="cellIs" dxfId="10411" priority="13847" operator="between">
      <formula>0.3751</formula>
      <formula>0.5625</formula>
    </cfRule>
    <cfRule type="cellIs" dxfId="10410" priority="13848" operator="greaterThan">
      <formula>0.751</formula>
    </cfRule>
    <cfRule type="cellIs" dxfId="10409" priority="13849" operator="between">
      <formula>0.71251</formula>
      <formula>0.75</formula>
    </cfRule>
    <cfRule type="cellIs" dxfId="10408" priority="13850" stopIfTrue="1" operator="between">
      <formula>0</formula>
      <formula>0.375</formula>
    </cfRule>
  </conditionalFormatting>
  <conditionalFormatting sqref="U122">
    <cfRule type="cellIs" dxfId="10407" priority="13836" operator="between">
      <formula>0.376</formula>
      <formula>0.475</formula>
    </cfRule>
    <cfRule type="cellIs" dxfId="10406" priority="13837" operator="between">
      <formula>0.2551</formula>
      <formula>0.3751</formula>
    </cfRule>
    <cfRule type="cellIs" dxfId="10405" priority="13838" operator="greaterThan">
      <formula>0.505</formula>
    </cfRule>
    <cfRule type="cellIs" dxfId="10404" priority="13839" operator="between">
      <formula>0.48</formula>
      <formula>0.5</formula>
    </cfRule>
    <cfRule type="cellIs" dxfId="10403" priority="13840" stopIfTrue="1" operator="between">
      <formula>0</formula>
      <formula>0.255</formula>
    </cfRule>
  </conditionalFormatting>
  <conditionalFormatting sqref="S122">
    <cfRule type="cellIs" dxfId="10402" priority="13791" operator="between">
      <formula>0.76</formula>
      <formula>0.95</formula>
    </cfRule>
    <cfRule type="cellIs" dxfId="10401" priority="13792" operator="between">
      <formula>0.51</formula>
      <formula>0.75</formula>
    </cfRule>
    <cfRule type="cellIs" dxfId="10400" priority="13793" operator="greaterThan">
      <formula>1</formula>
    </cfRule>
    <cfRule type="cellIs" dxfId="10399" priority="13794" operator="between">
      <formula>0.95</formula>
      <formula>1</formula>
    </cfRule>
    <cfRule type="cellIs" dxfId="10398" priority="13795" stopIfTrue="1" operator="between">
      <formula>0</formula>
      <formula>0.5</formula>
    </cfRule>
  </conditionalFormatting>
  <conditionalFormatting sqref="V122">
    <cfRule type="cellIs" dxfId="10397" priority="13796" operator="between">
      <formula>0.376</formula>
      <formula>0.475</formula>
    </cfRule>
    <cfRule type="cellIs" dxfId="10396" priority="13797" operator="between">
      <formula>0.2551</formula>
      <formula>0.3751</formula>
    </cfRule>
    <cfRule type="cellIs" dxfId="10395" priority="13798" operator="greaterThan">
      <formula>0.505</formula>
    </cfRule>
    <cfRule type="cellIs" dxfId="10394" priority="13799" operator="between">
      <formula>0.48</formula>
      <formula>0.5</formula>
    </cfRule>
    <cfRule type="cellIs" dxfId="10393" priority="13800" stopIfTrue="1" operator="between">
      <formula>0</formula>
      <formula>0.255</formula>
    </cfRule>
  </conditionalFormatting>
  <conditionalFormatting sqref="AC122">
    <cfRule type="cellIs" dxfId="10392" priority="13786" operator="between">
      <formula>0.56251</formula>
      <formula>0.7125</formula>
    </cfRule>
    <cfRule type="cellIs" dxfId="10391" priority="13787" operator="between">
      <formula>0.3751</formula>
      <formula>0.5625</formula>
    </cfRule>
    <cfRule type="cellIs" dxfId="10390" priority="13788" operator="greaterThan">
      <formula>0.751</formula>
    </cfRule>
    <cfRule type="cellIs" dxfId="10389" priority="13789" operator="between">
      <formula>0.71251</formula>
      <formula>0.75</formula>
    </cfRule>
    <cfRule type="cellIs" dxfId="10388" priority="13790" stopIfTrue="1" operator="between">
      <formula>0</formula>
      <formula>0.375</formula>
    </cfRule>
  </conditionalFormatting>
  <conditionalFormatting sqref="AG122">
    <cfRule type="cellIs" dxfId="10387" priority="13766" operator="between">
      <formula>0.76</formula>
      <formula>0.95</formula>
    </cfRule>
    <cfRule type="cellIs" dxfId="10386" priority="13767" operator="between">
      <formula>0.51</formula>
      <formula>0.75</formula>
    </cfRule>
    <cfRule type="cellIs" dxfId="10385" priority="13768" operator="greaterThan">
      <formula>1</formula>
    </cfRule>
    <cfRule type="cellIs" dxfId="10384" priority="13769" operator="between">
      <formula>0.95</formula>
      <formula>1</formula>
    </cfRule>
    <cfRule type="cellIs" dxfId="10383" priority="13770" stopIfTrue="1" operator="between">
      <formula>0</formula>
      <formula>0.5</formula>
    </cfRule>
  </conditionalFormatting>
  <conditionalFormatting sqref="Z123">
    <cfRule type="cellIs" dxfId="10382" priority="13696" operator="between">
      <formula>0.76</formula>
      <formula>0.95</formula>
    </cfRule>
    <cfRule type="cellIs" dxfId="10381" priority="13697" operator="between">
      <formula>0.51</formula>
      <formula>0.75</formula>
    </cfRule>
    <cfRule type="cellIs" dxfId="10380" priority="13698" operator="greaterThan">
      <formula>1</formula>
    </cfRule>
    <cfRule type="cellIs" dxfId="10379" priority="13699" operator="between">
      <formula>0.95</formula>
      <formula>1</formula>
    </cfRule>
    <cfRule type="cellIs" dxfId="10378" priority="13700" stopIfTrue="1" operator="between">
      <formula>0</formula>
      <formula>0.5</formula>
    </cfRule>
  </conditionalFormatting>
  <conditionalFormatting sqref="AF123 R123 Y123 AH123:AI123">
    <cfRule type="cellIs" dxfId="10377" priority="13761" operator="between">
      <formula>0.76</formula>
      <formula>0.95</formula>
    </cfRule>
    <cfRule type="cellIs" dxfId="10376" priority="13762" operator="between">
      <formula>0.51</formula>
      <formula>0.75</formula>
    </cfRule>
    <cfRule type="cellIs" dxfId="10375" priority="13763" operator="greaterThan">
      <formula>1</formula>
    </cfRule>
    <cfRule type="cellIs" dxfId="10374" priority="13764" operator="between">
      <formula>0.95</formula>
      <formula>1</formula>
    </cfRule>
    <cfRule type="cellIs" dxfId="10373" priority="13765" stopIfTrue="1" operator="between">
      <formula>0</formula>
      <formula>0.5</formula>
    </cfRule>
  </conditionalFormatting>
  <conditionalFormatting sqref="T123">
    <cfRule type="cellIs" dxfId="10372" priority="13756" operator="between">
      <formula>0.3751</formula>
      <formula>0.475</formula>
    </cfRule>
    <cfRule type="cellIs" dxfId="10371" priority="13757" operator="between">
      <formula>0.2551</formula>
      <formula>0.375</formula>
    </cfRule>
    <cfRule type="cellIs" dxfId="10370" priority="13758" operator="greaterThan">
      <formula>0.505</formula>
    </cfRule>
    <cfRule type="cellIs" dxfId="10369" priority="13759" operator="between">
      <formula>0.48</formula>
      <formula>0.5</formula>
    </cfRule>
    <cfRule type="cellIs" dxfId="10368" priority="13760" stopIfTrue="1" operator="between">
      <formula>0</formula>
      <formula>0.255</formula>
    </cfRule>
  </conditionalFormatting>
  <conditionalFormatting sqref="AA123:AB123">
    <cfRule type="cellIs" dxfId="10367" priority="13751" operator="between">
      <formula>0.56251</formula>
      <formula>0.7125</formula>
    </cfRule>
    <cfRule type="cellIs" dxfId="10366" priority="13752" operator="between">
      <formula>0.3751</formula>
      <formula>0.5625</formula>
    </cfRule>
    <cfRule type="cellIs" dxfId="10365" priority="13753" operator="greaterThan">
      <formula>0.751</formula>
    </cfRule>
    <cfRule type="cellIs" dxfId="10364" priority="13754" operator="between">
      <formula>0.71251</formula>
      <formula>0.75</formula>
    </cfRule>
    <cfRule type="cellIs" dxfId="10363" priority="13755" stopIfTrue="1" operator="between">
      <formula>0</formula>
      <formula>0.375</formula>
    </cfRule>
  </conditionalFormatting>
  <conditionalFormatting sqref="U123">
    <cfRule type="cellIs" dxfId="10362" priority="13741" operator="between">
      <formula>0.376</formula>
      <formula>0.475</formula>
    </cfRule>
    <cfRule type="cellIs" dxfId="10361" priority="13742" operator="between">
      <formula>0.2551</formula>
      <formula>0.3751</formula>
    </cfRule>
    <cfRule type="cellIs" dxfId="10360" priority="13743" operator="greaterThan">
      <formula>0.505</formula>
    </cfRule>
    <cfRule type="cellIs" dxfId="10359" priority="13744" operator="between">
      <formula>0.48</formula>
      <formula>0.5</formula>
    </cfRule>
    <cfRule type="cellIs" dxfId="10358" priority="13745" stopIfTrue="1" operator="between">
      <formula>0</formula>
      <formula>0.255</formula>
    </cfRule>
  </conditionalFormatting>
  <conditionalFormatting sqref="S123">
    <cfRule type="cellIs" dxfId="10357" priority="13716" operator="between">
      <formula>0.76</formula>
      <formula>0.95</formula>
    </cfRule>
    <cfRule type="cellIs" dxfId="10356" priority="13717" operator="between">
      <formula>0.51</formula>
      <formula>0.75</formula>
    </cfRule>
    <cfRule type="cellIs" dxfId="10355" priority="13718" operator="greaterThan">
      <formula>1</formula>
    </cfRule>
    <cfRule type="cellIs" dxfId="10354" priority="13719" operator="between">
      <formula>0.95</formula>
      <formula>1</formula>
    </cfRule>
    <cfRule type="cellIs" dxfId="10353" priority="13720" stopIfTrue="1" operator="between">
      <formula>0</formula>
      <formula>0.5</formula>
    </cfRule>
  </conditionalFormatting>
  <conditionalFormatting sqref="V123">
    <cfRule type="cellIs" dxfId="10352" priority="13721" operator="between">
      <formula>0.376</formula>
      <formula>0.475</formula>
    </cfRule>
    <cfRule type="cellIs" dxfId="10351" priority="13722" operator="between">
      <formula>0.2551</formula>
      <formula>0.3751</formula>
    </cfRule>
    <cfRule type="cellIs" dxfId="10350" priority="13723" operator="greaterThan">
      <formula>0.505</formula>
    </cfRule>
    <cfRule type="cellIs" dxfId="10349" priority="13724" operator="between">
      <formula>0.48</formula>
      <formula>0.5</formula>
    </cfRule>
    <cfRule type="cellIs" dxfId="10348" priority="13725" stopIfTrue="1" operator="between">
      <formula>0</formula>
      <formula>0.255</formula>
    </cfRule>
  </conditionalFormatting>
  <conditionalFormatting sqref="AC123">
    <cfRule type="cellIs" dxfId="10347" priority="13711" operator="between">
      <formula>0.56251</formula>
      <formula>0.7125</formula>
    </cfRule>
    <cfRule type="cellIs" dxfId="10346" priority="13712" operator="between">
      <formula>0.3751</formula>
      <formula>0.5625</formula>
    </cfRule>
    <cfRule type="cellIs" dxfId="10345" priority="13713" operator="greaterThan">
      <formula>0.751</formula>
    </cfRule>
    <cfRule type="cellIs" dxfId="10344" priority="13714" operator="between">
      <formula>0.71251</formula>
      <formula>0.75</formula>
    </cfRule>
    <cfRule type="cellIs" dxfId="10343" priority="13715" stopIfTrue="1" operator="between">
      <formula>0</formula>
      <formula>0.375</formula>
    </cfRule>
  </conditionalFormatting>
  <conditionalFormatting sqref="AG123">
    <cfRule type="cellIs" dxfId="10342" priority="13691" operator="between">
      <formula>0.76</formula>
      <formula>0.95</formula>
    </cfRule>
    <cfRule type="cellIs" dxfId="10341" priority="13692" operator="between">
      <formula>0.51</formula>
      <formula>0.75</formula>
    </cfRule>
    <cfRule type="cellIs" dxfId="10340" priority="13693" operator="greaterThan">
      <formula>1</formula>
    </cfRule>
    <cfRule type="cellIs" dxfId="10339" priority="13694" operator="between">
      <formula>0.95</formula>
      <formula>1</formula>
    </cfRule>
    <cfRule type="cellIs" dxfId="10338" priority="13695" stopIfTrue="1" operator="between">
      <formula>0</formula>
      <formula>0.5</formula>
    </cfRule>
  </conditionalFormatting>
  <conditionalFormatting sqref="AI310 Z310">
    <cfRule type="cellIs" dxfId="10337" priority="13686" operator="between">
      <formula>0.76</formula>
      <formula>0.95</formula>
    </cfRule>
    <cfRule type="cellIs" dxfId="10336" priority="13687" operator="between">
      <formula>0.51</formula>
      <formula>0.75</formula>
    </cfRule>
    <cfRule type="cellIs" dxfId="10335" priority="13688" operator="greaterThan">
      <formula>1</formula>
    </cfRule>
    <cfRule type="cellIs" dxfId="10334" priority="13689" operator="between">
      <formula>0.95</formula>
      <formula>1</formula>
    </cfRule>
    <cfRule type="cellIs" dxfId="10333" priority="13690" stopIfTrue="1" operator="between">
      <formula>0</formula>
      <formula>0.5</formula>
    </cfRule>
  </conditionalFormatting>
  <conditionalFormatting sqref="R310">
    <cfRule type="cellIs" dxfId="10332" priority="13676" operator="between">
      <formula>0.76</formula>
      <formula>0.95</formula>
    </cfRule>
    <cfRule type="cellIs" dxfId="10331" priority="13677" operator="between">
      <formula>0.51</formula>
      <formula>0.75</formula>
    </cfRule>
    <cfRule type="cellIs" dxfId="10330" priority="13678" operator="greaterThan">
      <formula>1</formula>
    </cfRule>
    <cfRule type="cellIs" dxfId="10329" priority="13679" operator="between">
      <formula>0.95</formula>
      <formula>1</formula>
    </cfRule>
    <cfRule type="cellIs" dxfId="10328" priority="13680" stopIfTrue="1" operator="between">
      <formula>0</formula>
      <formula>0.5</formula>
    </cfRule>
  </conditionalFormatting>
  <conditionalFormatting sqref="Y310">
    <cfRule type="cellIs" dxfId="10327" priority="13671" operator="between">
      <formula>0.76</formula>
      <formula>0.95</formula>
    </cfRule>
    <cfRule type="cellIs" dxfId="10326" priority="13672" operator="between">
      <formula>0.51</formula>
      <formula>0.75</formula>
    </cfRule>
    <cfRule type="cellIs" dxfId="10325" priority="13673" operator="greaterThan">
      <formula>1</formula>
    </cfRule>
    <cfRule type="cellIs" dxfId="10324" priority="13674" operator="between">
      <formula>0.95</formula>
      <formula>1</formula>
    </cfRule>
    <cfRule type="cellIs" dxfId="10323" priority="13675" stopIfTrue="1" operator="between">
      <formula>0</formula>
      <formula>0.5</formula>
    </cfRule>
  </conditionalFormatting>
  <conditionalFormatting sqref="AF310">
    <cfRule type="cellIs" dxfId="10322" priority="13666" operator="between">
      <formula>0.76</formula>
      <formula>0.95</formula>
    </cfRule>
    <cfRule type="cellIs" dxfId="10321" priority="13667" operator="between">
      <formula>0.51</formula>
      <formula>0.75</formula>
    </cfRule>
    <cfRule type="cellIs" dxfId="10320" priority="13668" operator="greaterThan">
      <formula>1</formula>
    </cfRule>
    <cfRule type="cellIs" dxfId="10319" priority="13669" operator="between">
      <formula>0.95</formula>
      <formula>1</formula>
    </cfRule>
    <cfRule type="cellIs" dxfId="10318" priority="13670" stopIfTrue="1" operator="between">
      <formula>0</formula>
      <formula>0.5</formula>
    </cfRule>
  </conditionalFormatting>
  <conditionalFormatting sqref="AH310">
    <cfRule type="cellIs" dxfId="10317" priority="13661" operator="between">
      <formula>0.76</formula>
      <formula>0.95</formula>
    </cfRule>
    <cfRule type="cellIs" dxfId="10316" priority="13662" operator="between">
      <formula>0.51</formula>
      <formula>0.75</formula>
    </cfRule>
    <cfRule type="cellIs" dxfId="10315" priority="13663" operator="greaterThan">
      <formula>1</formula>
    </cfRule>
    <cfRule type="cellIs" dxfId="10314" priority="13664" operator="between">
      <formula>0.95</formula>
      <formula>1</formula>
    </cfRule>
    <cfRule type="cellIs" dxfId="10313" priority="13665" stopIfTrue="1" operator="between">
      <formula>0</formula>
      <formula>0.5</formula>
    </cfRule>
  </conditionalFormatting>
  <conditionalFormatting sqref="T310">
    <cfRule type="cellIs" dxfId="10312" priority="13646" operator="between">
      <formula>0.3751</formula>
      <formula>0.475</formula>
    </cfRule>
    <cfRule type="cellIs" dxfId="10311" priority="13647" operator="between">
      <formula>0.2551</formula>
      <formula>0.375</formula>
    </cfRule>
    <cfRule type="cellIs" dxfId="10310" priority="13648" operator="greaterThan">
      <formula>0.505</formula>
    </cfRule>
    <cfRule type="cellIs" dxfId="10309" priority="13649" operator="between">
      <formula>0.48</formula>
      <formula>0.5</formula>
    </cfRule>
    <cfRule type="cellIs" dxfId="10308" priority="13650" stopIfTrue="1" operator="between">
      <formula>0</formula>
      <formula>0.255</formula>
    </cfRule>
  </conditionalFormatting>
  <conditionalFormatting sqref="U310:V310">
    <cfRule type="cellIs" dxfId="10307" priority="13641" operator="between">
      <formula>0.376</formula>
      <formula>0.475</formula>
    </cfRule>
    <cfRule type="cellIs" dxfId="10306" priority="13642" operator="between">
      <formula>0.2551</formula>
      <formula>0.3751</formula>
    </cfRule>
    <cfRule type="cellIs" dxfId="10305" priority="13643" operator="greaterThan">
      <formula>0.505</formula>
    </cfRule>
    <cfRule type="cellIs" dxfId="10304" priority="13644" operator="between">
      <formula>0.48</formula>
      <formula>0.5</formula>
    </cfRule>
    <cfRule type="cellIs" dxfId="10303" priority="13645" stopIfTrue="1" operator="between">
      <formula>0</formula>
      <formula>0.255</formula>
    </cfRule>
  </conditionalFormatting>
  <conditionalFormatting sqref="AA310">
    <cfRule type="cellIs" dxfId="10302" priority="13636" operator="between">
      <formula>0.56251</formula>
      <formula>0.7125</formula>
    </cfRule>
    <cfRule type="cellIs" dxfId="10301" priority="13637" operator="between">
      <formula>0.3751</formula>
      <formula>0.5625</formula>
    </cfRule>
    <cfRule type="cellIs" dxfId="10300" priority="13638" operator="greaterThan">
      <formula>0.751</formula>
    </cfRule>
    <cfRule type="cellIs" dxfId="10299" priority="13639" operator="between">
      <formula>0.71251</formula>
      <formula>0.75</formula>
    </cfRule>
    <cfRule type="cellIs" dxfId="10298" priority="13640" stopIfTrue="1" operator="between">
      <formula>0</formula>
      <formula>0.375</formula>
    </cfRule>
  </conditionalFormatting>
  <conditionalFormatting sqref="AC310">
    <cfRule type="cellIs" dxfId="10297" priority="13631" operator="between">
      <formula>0.56251</formula>
      <formula>0.7125</formula>
    </cfRule>
    <cfRule type="cellIs" dxfId="10296" priority="13632" operator="between">
      <formula>0.3751</formula>
      <formula>0.5625</formula>
    </cfRule>
    <cfRule type="cellIs" dxfId="10295" priority="13633" operator="greaterThan">
      <formula>0.751</formula>
    </cfRule>
    <cfRule type="cellIs" dxfId="10294" priority="13634" operator="between">
      <formula>0.71251</formula>
      <formula>0.75</formula>
    </cfRule>
    <cfRule type="cellIs" dxfId="10293" priority="13635" stopIfTrue="1" operator="between">
      <formula>0</formula>
      <formula>0.375</formula>
    </cfRule>
  </conditionalFormatting>
  <conditionalFormatting sqref="AB310">
    <cfRule type="cellIs" dxfId="10292" priority="13626" operator="between">
      <formula>0.56251</formula>
      <formula>0.7125</formula>
    </cfRule>
    <cfRule type="cellIs" dxfId="10291" priority="13627" operator="between">
      <formula>0.3751</formula>
      <formula>0.5625</formula>
    </cfRule>
    <cfRule type="cellIs" dxfId="10290" priority="13628" operator="greaterThan">
      <formula>0.751</formula>
    </cfRule>
    <cfRule type="cellIs" dxfId="10289" priority="13629" operator="between">
      <formula>0.71251</formula>
      <formula>0.75</formula>
    </cfRule>
    <cfRule type="cellIs" dxfId="10288" priority="13630" stopIfTrue="1" operator="between">
      <formula>0</formula>
      <formula>0.375</formula>
    </cfRule>
  </conditionalFormatting>
  <conditionalFormatting sqref="R311">
    <cfRule type="cellIs" dxfId="10287" priority="13594" operator="between">
      <formula>0.76</formula>
      <formula>0.95</formula>
    </cfRule>
    <cfRule type="cellIs" dxfId="10286" priority="13595" operator="between">
      <formula>0.51</formula>
      <formula>0.75</formula>
    </cfRule>
    <cfRule type="cellIs" dxfId="10285" priority="13596" operator="greaterThan">
      <formula>1</formula>
    </cfRule>
    <cfRule type="cellIs" dxfId="10284" priority="13597" operator="between">
      <formula>0.95</formula>
      <formula>1</formula>
    </cfRule>
    <cfRule type="cellIs" dxfId="10283" priority="13598" stopIfTrue="1" operator="between">
      <formula>0</formula>
      <formula>0.5</formula>
    </cfRule>
  </conditionalFormatting>
  <conditionalFormatting sqref="Y311">
    <cfRule type="cellIs" dxfId="10282" priority="13589" operator="between">
      <formula>0.76</formula>
      <formula>0.95</formula>
    </cfRule>
    <cfRule type="cellIs" dxfId="10281" priority="13590" operator="between">
      <formula>0.51</formula>
      <formula>0.75</formula>
    </cfRule>
    <cfRule type="cellIs" dxfId="10280" priority="13591" operator="greaterThan">
      <formula>1</formula>
    </cfRule>
    <cfRule type="cellIs" dxfId="10279" priority="13592" operator="between">
      <formula>0.95</formula>
      <formula>1</formula>
    </cfRule>
    <cfRule type="cellIs" dxfId="10278" priority="13593" stopIfTrue="1" operator="between">
      <formula>0</formula>
      <formula>0.5</formula>
    </cfRule>
  </conditionalFormatting>
  <conditionalFormatting sqref="AF311">
    <cfRule type="cellIs" dxfId="10277" priority="13584" operator="between">
      <formula>0.76</formula>
      <formula>0.95</formula>
    </cfRule>
    <cfRule type="cellIs" dxfId="10276" priority="13585" operator="between">
      <formula>0.51</formula>
      <formula>0.75</formula>
    </cfRule>
    <cfRule type="cellIs" dxfId="10275" priority="13586" operator="greaterThan">
      <formula>1</formula>
    </cfRule>
    <cfRule type="cellIs" dxfId="10274" priority="13587" operator="between">
      <formula>0.95</formula>
      <formula>1</formula>
    </cfRule>
    <cfRule type="cellIs" dxfId="10273" priority="13588" stopIfTrue="1" operator="between">
      <formula>0</formula>
      <formula>0.5</formula>
    </cfRule>
  </conditionalFormatting>
  <conditionalFormatting sqref="S311">
    <cfRule type="cellIs" dxfId="10272" priority="13522" operator="between">
      <formula>0.76</formula>
      <formula>0.95</formula>
    </cfRule>
    <cfRule type="cellIs" dxfId="10271" priority="13523" operator="between">
      <formula>0.51</formula>
      <formula>0.75</formula>
    </cfRule>
    <cfRule type="cellIs" dxfId="10270" priority="13524" operator="greaterThan">
      <formula>1</formula>
    </cfRule>
    <cfRule type="cellIs" dxfId="10269" priority="13525" operator="between">
      <formula>0.95</formula>
      <formula>1</formula>
    </cfRule>
    <cfRule type="cellIs" dxfId="10268" priority="13526" stopIfTrue="1" operator="between">
      <formula>0</formula>
      <formula>0.5</formula>
    </cfRule>
  </conditionalFormatting>
  <conditionalFormatting sqref="Z311">
    <cfRule type="cellIs" dxfId="10267" priority="13517" operator="between">
      <formula>0.76</formula>
      <formula>0.95</formula>
    </cfRule>
    <cfRule type="cellIs" dxfId="10266" priority="13518" operator="between">
      <formula>0.51</formula>
      <formula>0.75</formula>
    </cfRule>
    <cfRule type="cellIs" dxfId="10265" priority="13519" operator="greaterThan">
      <formula>1</formula>
    </cfRule>
    <cfRule type="cellIs" dxfId="10264" priority="13520" operator="between">
      <formula>0.95</formula>
      <formula>1</formula>
    </cfRule>
    <cfRule type="cellIs" dxfId="10263" priority="13521" stopIfTrue="1" operator="between">
      <formula>0</formula>
      <formula>0.5</formula>
    </cfRule>
  </conditionalFormatting>
  <conditionalFormatting sqref="AG311">
    <cfRule type="cellIs" dxfId="10262" priority="13512" operator="between">
      <formula>0.76</formula>
      <formula>0.95</formula>
    </cfRule>
    <cfRule type="cellIs" dxfId="10261" priority="13513" operator="between">
      <formula>0.51</formula>
      <formula>0.75</formula>
    </cfRule>
    <cfRule type="cellIs" dxfId="10260" priority="13514" operator="greaterThan">
      <formula>1</formula>
    </cfRule>
    <cfRule type="cellIs" dxfId="10259" priority="13515" operator="between">
      <formula>0.95</formula>
      <formula>1</formula>
    </cfRule>
    <cfRule type="cellIs" dxfId="10258" priority="13516" stopIfTrue="1" operator="between">
      <formula>0</formula>
      <formula>0.5</formula>
    </cfRule>
  </conditionalFormatting>
  <conditionalFormatting sqref="R262 Y262:Z262 AF262:AI262">
    <cfRule type="cellIs" dxfId="10257" priority="13507" operator="between">
      <formula>0.76</formula>
      <formula>0.95</formula>
    </cfRule>
    <cfRule type="cellIs" dxfId="10256" priority="13508" operator="between">
      <formula>0.51</formula>
      <formula>0.75</formula>
    </cfRule>
    <cfRule type="cellIs" dxfId="10255" priority="13509" operator="greaterThan">
      <formula>1</formula>
    </cfRule>
    <cfRule type="cellIs" dxfId="10254" priority="13510" operator="between">
      <formula>0.95</formula>
      <formula>1</formula>
    </cfRule>
    <cfRule type="cellIs" dxfId="10253" priority="13511" stopIfTrue="1" operator="between">
      <formula>0</formula>
      <formula>0.5</formula>
    </cfRule>
  </conditionalFormatting>
  <conditionalFormatting sqref="T262">
    <cfRule type="cellIs" dxfId="10252" priority="13502" operator="between">
      <formula>0.3751</formula>
      <formula>0.475</formula>
    </cfRule>
    <cfRule type="cellIs" dxfId="10251" priority="13503" operator="between">
      <formula>0.2551</formula>
      <formula>0.375</formula>
    </cfRule>
    <cfRule type="cellIs" dxfId="10250" priority="13504" operator="greaterThan">
      <formula>0.505</formula>
    </cfRule>
    <cfRule type="cellIs" dxfId="10249" priority="13505" operator="between">
      <formula>0.48</formula>
      <formula>0.5</formula>
    </cfRule>
    <cfRule type="cellIs" dxfId="10248" priority="13506" stopIfTrue="1" operator="between">
      <formula>0</formula>
      <formula>0.255</formula>
    </cfRule>
  </conditionalFormatting>
  <conditionalFormatting sqref="AA262:AC262">
    <cfRule type="cellIs" dxfId="10247" priority="13497" operator="between">
      <formula>0.56251</formula>
      <formula>0.7125</formula>
    </cfRule>
    <cfRule type="cellIs" dxfId="10246" priority="13498" operator="between">
      <formula>0.3751</formula>
      <formula>0.5625</formula>
    </cfRule>
    <cfRule type="cellIs" dxfId="10245" priority="13499" operator="greaterThan">
      <formula>0.751</formula>
    </cfRule>
    <cfRule type="cellIs" dxfId="10244" priority="13500" operator="between">
      <formula>0.71251</formula>
      <formula>0.75</formula>
    </cfRule>
    <cfRule type="cellIs" dxfId="10243" priority="13501" stopIfTrue="1" operator="between">
      <formula>0</formula>
      <formula>0.375</formula>
    </cfRule>
  </conditionalFormatting>
  <conditionalFormatting sqref="U262">
    <cfRule type="cellIs" dxfId="10242" priority="13487" operator="between">
      <formula>0.376</formula>
      <formula>0.475</formula>
    </cfRule>
    <cfRule type="cellIs" dxfId="10241" priority="13488" operator="between">
      <formula>0.2551</formula>
      <formula>0.3751</formula>
    </cfRule>
    <cfRule type="cellIs" dxfId="10240" priority="13489" operator="greaterThan">
      <formula>0.505</formula>
    </cfRule>
    <cfRule type="cellIs" dxfId="10239" priority="13490" operator="between">
      <formula>0.48</formula>
      <formula>0.5</formula>
    </cfRule>
    <cfRule type="cellIs" dxfId="10238" priority="13491" stopIfTrue="1" operator="between">
      <formula>0</formula>
      <formula>0.255</formula>
    </cfRule>
  </conditionalFormatting>
  <conditionalFormatting sqref="R263:S266 Y266:Z266 AF264:AI267 AF263 AH263:AI263 R267 Y263:Y265 Y267">
    <cfRule type="cellIs" dxfId="10237" priority="13479" operator="between">
      <formula>0.76</formula>
      <formula>0.95</formula>
    </cfRule>
    <cfRule type="cellIs" dxfId="10236" priority="13480" operator="between">
      <formula>0.51</formula>
      <formula>0.75</formula>
    </cfRule>
    <cfRule type="cellIs" dxfId="10235" priority="13481" operator="greaterThan">
      <formula>1</formula>
    </cfRule>
    <cfRule type="cellIs" dxfId="10234" priority="13482" operator="between">
      <formula>0.95</formula>
      <formula>1</formula>
    </cfRule>
    <cfRule type="cellIs" dxfId="10233" priority="13483" stopIfTrue="1" operator="between">
      <formula>0</formula>
      <formula>0.5</formula>
    </cfRule>
  </conditionalFormatting>
  <conditionalFormatting sqref="T263:T267">
    <cfRule type="cellIs" dxfId="10232" priority="13474" operator="between">
      <formula>0.3751</formula>
      <formula>0.475</formula>
    </cfRule>
    <cfRule type="cellIs" dxfId="10231" priority="13475" operator="between">
      <formula>0.2551</formula>
      <formula>0.375</formula>
    </cfRule>
    <cfRule type="cellIs" dxfId="10230" priority="13476" operator="greaterThan">
      <formula>0.505</formula>
    </cfRule>
    <cfRule type="cellIs" dxfId="10229" priority="13477" operator="between">
      <formula>0.48</formula>
      <formula>0.5</formula>
    </cfRule>
    <cfRule type="cellIs" dxfId="10228" priority="13478" stopIfTrue="1" operator="between">
      <formula>0</formula>
      <formula>0.255</formula>
    </cfRule>
  </conditionalFormatting>
  <conditionalFormatting sqref="AA263:AC266">
    <cfRule type="cellIs" dxfId="10227" priority="13469" operator="between">
      <formula>0.56251</formula>
      <formula>0.7125</formula>
    </cfRule>
    <cfRule type="cellIs" dxfId="10226" priority="13470" operator="between">
      <formula>0.3751</formula>
      <formula>0.5625</formula>
    </cfRule>
    <cfRule type="cellIs" dxfId="10225" priority="13471" operator="greaterThan">
      <formula>0.751</formula>
    </cfRule>
    <cfRule type="cellIs" dxfId="10224" priority="13472" operator="between">
      <formula>0.71251</formula>
      <formula>0.75</formula>
    </cfRule>
    <cfRule type="cellIs" dxfId="10223" priority="13473" stopIfTrue="1" operator="between">
      <formula>0</formula>
      <formula>0.375</formula>
    </cfRule>
  </conditionalFormatting>
  <conditionalFormatting sqref="U266:V266 U263:U265 U267">
    <cfRule type="cellIs" dxfId="10222" priority="13459" operator="between">
      <formula>0.376</formula>
      <formula>0.475</formula>
    </cfRule>
    <cfRule type="cellIs" dxfId="10221" priority="13460" operator="between">
      <formula>0.2551</formula>
      <formula>0.3751</formula>
    </cfRule>
    <cfRule type="cellIs" dxfId="10220" priority="13461" operator="greaterThan">
      <formula>0.505</formula>
    </cfRule>
    <cfRule type="cellIs" dxfId="10219" priority="13462" operator="between">
      <formula>0.48</formula>
      <formula>0.5</formula>
    </cfRule>
    <cfRule type="cellIs" dxfId="10218" priority="13463" stopIfTrue="1" operator="between">
      <formula>0</formula>
      <formula>0.255</formula>
    </cfRule>
  </conditionalFormatting>
  <conditionalFormatting sqref="V261">
    <cfRule type="cellIs" dxfId="10217" priority="13431" operator="between">
      <formula>0.376</formula>
      <formula>0.475</formula>
    </cfRule>
    <cfRule type="cellIs" dxfId="10216" priority="13432" operator="between">
      <formula>0.2551</formula>
      <formula>0.3751</formula>
    </cfRule>
    <cfRule type="cellIs" dxfId="10215" priority="13433" operator="greaterThan">
      <formula>0.505</formula>
    </cfRule>
    <cfRule type="cellIs" dxfId="10214" priority="13434" operator="between">
      <formula>0.48</formula>
      <formula>0.5</formula>
    </cfRule>
    <cfRule type="cellIs" dxfId="10213" priority="13435" stopIfTrue="1" operator="between">
      <formula>0</formula>
      <formula>0.255</formula>
    </cfRule>
  </conditionalFormatting>
  <conditionalFormatting sqref="AC261">
    <cfRule type="cellIs" dxfId="10212" priority="13426" operator="between">
      <formula>0.56251</formula>
      <formula>0.7125</formula>
    </cfRule>
    <cfRule type="cellIs" dxfId="10211" priority="13427" operator="between">
      <formula>0.3751</formula>
      <formula>0.5625</formula>
    </cfRule>
    <cfRule type="cellIs" dxfId="10210" priority="13428" operator="greaterThan">
      <formula>0.751</formula>
    </cfRule>
    <cfRule type="cellIs" dxfId="10209" priority="13429" operator="between">
      <formula>0.71251</formula>
      <formula>0.75</formula>
    </cfRule>
    <cfRule type="cellIs" dxfId="10208" priority="13430" stopIfTrue="1" operator="between">
      <formula>0</formula>
      <formula>0.375</formula>
    </cfRule>
  </conditionalFormatting>
  <conditionalFormatting sqref="V263:V265">
    <cfRule type="cellIs" dxfId="10207" priority="13421" operator="between">
      <formula>0.376</formula>
      <formula>0.475</formula>
    </cfRule>
    <cfRule type="cellIs" dxfId="10206" priority="13422" operator="between">
      <formula>0.2551</formula>
      <formula>0.3751</formula>
    </cfRule>
    <cfRule type="cellIs" dxfId="10205" priority="13423" operator="greaterThan">
      <formula>0.505</formula>
    </cfRule>
    <cfRule type="cellIs" dxfId="10204" priority="13424" operator="between">
      <formula>0.48</formula>
      <formula>0.5</formula>
    </cfRule>
    <cfRule type="cellIs" dxfId="10203" priority="13425" stopIfTrue="1" operator="between">
      <formula>0</formula>
      <formula>0.255</formula>
    </cfRule>
  </conditionalFormatting>
  <conditionalFormatting sqref="AG263">
    <cfRule type="cellIs" dxfId="10202" priority="13416" operator="between">
      <formula>0.76</formula>
      <formula>0.95</formula>
    </cfRule>
    <cfRule type="cellIs" dxfId="10201" priority="13417" operator="between">
      <formula>0.51</formula>
      <formula>0.75</formula>
    </cfRule>
    <cfRule type="cellIs" dxfId="10200" priority="13418" operator="greaterThan">
      <formula>1</formula>
    </cfRule>
    <cfRule type="cellIs" dxfId="10199" priority="13419" operator="between">
      <formula>0.95</formula>
      <formula>1</formula>
    </cfRule>
    <cfRule type="cellIs" dxfId="10198" priority="13420" stopIfTrue="1" operator="between">
      <formula>0</formula>
      <formula>0.5</formula>
    </cfRule>
  </conditionalFormatting>
  <conditionalFormatting sqref="S267">
    <cfRule type="cellIs" dxfId="10197" priority="13411" operator="between">
      <formula>0.76</formula>
      <formula>0.95</formula>
    </cfRule>
    <cfRule type="cellIs" dxfId="10196" priority="13412" operator="between">
      <formula>0.51</formula>
      <formula>0.75</formula>
    </cfRule>
    <cfRule type="cellIs" dxfId="10195" priority="13413" operator="greaterThan">
      <formula>1</formula>
    </cfRule>
    <cfRule type="cellIs" dxfId="10194" priority="13414" operator="between">
      <formula>0.95</formula>
      <formula>1</formula>
    </cfRule>
    <cfRule type="cellIs" dxfId="10193" priority="13415" stopIfTrue="1" operator="between">
      <formula>0</formula>
      <formula>0.5</formula>
    </cfRule>
  </conditionalFormatting>
  <conditionalFormatting sqref="V267">
    <cfRule type="cellIs" dxfId="10192" priority="13406" operator="between">
      <formula>0.376</formula>
      <formula>0.475</formula>
    </cfRule>
    <cfRule type="cellIs" dxfId="10191" priority="13407" operator="between">
      <formula>0.2551</formula>
      <formula>0.3751</formula>
    </cfRule>
    <cfRule type="cellIs" dxfId="10190" priority="13408" operator="greaterThan">
      <formula>0.505</formula>
    </cfRule>
    <cfRule type="cellIs" dxfId="10189" priority="13409" operator="between">
      <formula>0.48</formula>
      <formula>0.5</formula>
    </cfRule>
    <cfRule type="cellIs" dxfId="10188" priority="13410" stopIfTrue="1" operator="between">
      <formula>0</formula>
      <formula>0.255</formula>
    </cfRule>
  </conditionalFormatting>
  <conditionalFormatting sqref="R183:S183 Y183:Z183 AF183:AI183">
    <cfRule type="cellIs" dxfId="10187" priority="13401" operator="between">
      <formula>0.76</formula>
      <formula>0.95</formula>
    </cfRule>
    <cfRule type="cellIs" dxfId="10186" priority="13402" operator="between">
      <formula>0.51</formula>
      <formula>0.75</formula>
    </cfRule>
    <cfRule type="cellIs" dxfId="10185" priority="13403" operator="greaterThan">
      <formula>1</formula>
    </cfRule>
    <cfRule type="cellIs" dxfId="10184" priority="13404" operator="between">
      <formula>0.95</formula>
      <formula>1</formula>
    </cfRule>
    <cfRule type="cellIs" dxfId="10183" priority="13405" stopIfTrue="1" operator="between">
      <formula>0</formula>
      <formula>0.5</formula>
    </cfRule>
  </conditionalFormatting>
  <conditionalFormatting sqref="T183">
    <cfRule type="cellIs" dxfId="10182" priority="13396" operator="between">
      <formula>0.3751</formula>
      <formula>0.475</formula>
    </cfRule>
    <cfRule type="cellIs" dxfId="10181" priority="13397" operator="between">
      <formula>0.2551</formula>
      <formula>0.375</formula>
    </cfRule>
    <cfRule type="cellIs" dxfId="10180" priority="13398" operator="greaterThan">
      <formula>0.505</formula>
    </cfRule>
    <cfRule type="cellIs" dxfId="10179" priority="13399" operator="between">
      <formula>0.48</formula>
      <formula>0.5</formula>
    </cfRule>
    <cfRule type="cellIs" dxfId="10178" priority="13400" stopIfTrue="1" operator="between">
      <formula>0</formula>
      <formula>0.255</formula>
    </cfRule>
  </conditionalFormatting>
  <conditionalFormatting sqref="AA183:AC183">
    <cfRule type="cellIs" dxfId="10177" priority="13391" operator="between">
      <formula>0.56251</formula>
      <formula>0.7125</formula>
    </cfRule>
    <cfRule type="cellIs" dxfId="10176" priority="13392" operator="between">
      <formula>0.3751</formula>
      <formula>0.5625</formula>
    </cfRule>
    <cfRule type="cellIs" dxfId="10175" priority="13393" operator="greaterThan">
      <formula>0.751</formula>
    </cfRule>
    <cfRule type="cellIs" dxfId="10174" priority="13394" operator="between">
      <formula>0.71251</formula>
      <formula>0.75</formula>
    </cfRule>
    <cfRule type="cellIs" dxfId="10173" priority="13395" stopIfTrue="1" operator="between">
      <formula>0</formula>
      <formula>0.375</formula>
    </cfRule>
  </conditionalFormatting>
  <conditionalFormatting sqref="U183:V183">
    <cfRule type="cellIs" dxfId="10172" priority="13381" operator="between">
      <formula>0.376</formula>
      <formula>0.475</formula>
    </cfRule>
    <cfRule type="cellIs" dxfId="10171" priority="13382" operator="between">
      <formula>0.2551</formula>
      <formula>0.3751</formula>
    </cfRule>
    <cfRule type="cellIs" dxfId="10170" priority="13383" operator="greaterThan">
      <formula>0.505</formula>
    </cfRule>
    <cfRule type="cellIs" dxfId="10169" priority="13384" operator="between">
      <formula>0.48</formula>
      <formula>0.5</formula>
    </cfRule>
    <cfRule type="cellIs" dxfId="10168" priority="13385" stopIfTrue="1" operator="between">
      <formula>0</formula>
      <formula>0.255</formula>
    </cfRule>
  </conditionalFormatting>
  <conditionalFormatting sqref="Y268:Z268 AF268:AI268 R268">
    <cfRule type="cellIs" dxfId="10167" priority="13358" operator="between">
      <formula>0.76</formula>
      <formula>0.95</formula>
    </cfRule>
    <cfRule type="cellIs" dxfId="10166" priority="13359" operator="between">
      <formula>0.51</formula>
      <formula>0.75</formula>
    </cfRule>
    <cfRule type="cellIs" dxfId="10165" priority="13360" operator="greaterThan">
      <formula>1</formula>
    </cfRule>
    <cfRule type="cellIs" dxfId="10164" priority="13361" operator="between">
      <formula>0.95</formula>
      <formula>1</formula>
    </cfRule>
    <cfRule type="cellIs" dxfId="10163" priority="13362" stopIfTrue="1" operator="between">
      <formula>0</formula>
      <formula>0.5</formula>
    </cfRule>
  </conditionalFormatting>
  <conditionalFormatting sqref="T268">
    <cfRule type="cellIs" dxfId="10162" priority="13353" operator="between">
      <formula>0.3751</formula>
      <formula>0.475</formula>
    </cfRule>
    <cfRule type="cellIs" dxfId="10161" priority="13354" operator="between">
      <formula>0.2551</formula>
      <formula>0.375</formula>
    </cfRule>
    <cfRule type="cellIs" dxfId="10160" priority="13355" operator="greaterThan">
      <formula>0.505</formula>
    </cfRule>
    <cfRule type="cellIs" dxfId="10159" priority="13356" operator="between">
      <formula>0.48</formula>
      <formula>0.5</formula>
    </cfRule>
    <cfRule type="cellIs" dxfId="10158" priority="13357" stopIfTrue="1" operator="between">
      <formula>0</formula>
      <formula>0.255</formula>
    </cfRule>
  </conditionalFormatting>
  <conditionalFormatting sqref="AA268:AC268">
    <cfRule type="cellIs" dxfId="10157" priority="13348" operator="between">
      <formula>0.56251</formula>
      <formula>0.7125</formula>
    </cfRule>
    <cfRule type="cellIs" dxfId="10156" priority="13349" operator="between">
      <formula>0.3751</formula>
      <formula>0.5625</formula>
    </cfRule>
    <cfRule type="cellIs" dxfId="10155" priority="13350" operator="greaterThan">
      <formula>0.751</formula>
    </cfRule>
    <cfRule type="cellIs" dxfId="10154" priority="13351" operator="between">
      <formula>0.71251</formula>
      <formula>0.75</formula>
    </cfRule>
    <cfRule type="cellIs" dxfId="10153" priority="13352" stopIfTrue="1" operator="between">
      <formula>0</formula>
      <formula>0.375</formula>
    </cfRule>
  </conditionalFormatting>
  <conditionalFormatting sqref="U268">
    <cfRule type="cellIs" dxfId="10152" priority="13338" operator="between">
      <formula>0.376</formula>
      <formula>0.475</formula>
    </cfRule>
    <cfRule type="cellIs" dxfId="10151" priority="13339" operator="between">
      <formula>0.2551</formula>
      <formula>0.3751</formula>
    </cfRule>
    <cfRule type="cellIs" dxfId="10150" priority="13340" operator="greaterThan">
      <formula>0.505</formula>
    </cfRule>
    <cfRule type="cellIs" dxfId="10149" priority="13341" operator="between">
      <formula>0.48</formula>
      <formula>0.5</formula>
    </cfRule>
    <cfRule type="cellIs" dxfId="10148" priority="13342" stopIfTrue="1" operator="between">
      <formula>0</formula>
      <formula>0.255</formula>
    </cfRule>
  </conditionalFormatting>
  <conditionalFormatting sqref="S268">
    <cfRule type="cellIs" dxfId="10147" priority="13330" operator="between">
      <formula>0.76</formula>
      <formula>0.95</formula>
    </cfRule>
    <cfRule type="cellIs" dxfId="10146" priority="13331" operator="between">
      <formula>0.51</formula>
      <formula>0.75</formula>
    </cfRule>
    <cfRule type="cellIs" dxfId="10145" priority="13332" operator="greaterThan">
      <formula>1</formula>
    </cfRule>
    <cfRule type="cellIs" dxfId="10144" priority="13333" operator="between">
      <formula>0.95</formula>
      <formula>1</formula>
    </cfRule>
    <cfRule type="cellIs" dxfId="10143" priority="13334" stopIfTrue="1" operator="between">
      <formula>0</formula>
      <formula>0.5</formula>
    </cfRule>
  </conditionalFormatting>
  <conditionalFormatting sqref="V268">
    <cfRule type="cellIs" dxfId="10142" priority="13325" operator="between">
      <formula>0.376</formula>
      <formula>0.475</formula>
    </cfRule>
    <cfRule type="cellIs" dxfId="10141" priority="13326" operator="between">
      <formula>0.2551</formula>
      <formula>0.3751</formula>
    </cfRule>
    <cfRule type="cellIs" dxfId="10140" priority="13327" operator="greaterThan">
      <formula>0.505</formula>
    </cfRule>
    <cfRule type="cellIs" dxfId="10139" priority="13328" operator="between">
      <formula>0.48</formula>
      <formula>0.5</formula>
    </cfRule>
    <cfRule type="cellIs" dxfId="10138" priority="13329" stopIfTrue="1" operator="between">
      <formula>0</formula>
      <formula>0.255</formula>
    </cfRule>
  </conditionalFormatting>
  <conditionalFormatting sqref="Y272:Z275 R270:R275 Y270:Y271 AF272:AI272 AF270:AF271 AH270:AI271 AF273:AF275 AH273:AI275">
    <cfRule type="cellIs" dxfId="10137" priority="13320" operator="between">
      <formula>0.76</formula>
      <formula>0.95</formula>
    </cfRule>
    <cfRule type="cellIs" dxfId="10136" priority="13321" operator="between">
      <formula>0.51</formula>
      <formula>0.75</formula>
    </cfRule>
    <cfRule type="cellIs" dxfId="10135" priority="13322" operator="greaterThan">
      <formula>1</formula>
    </cfRule>
    <cfRule type="cellIs" dxfId="10134" priority="13323" operator="between">
      <formula>0.95</formula>
      <formula>1</formula>
    </cfRule>
    <cfRule type="cellIs" dxfId="10133" priority="13324" stopIfTrue="1" operator="between">
      <formula>0</formula>
      <formula>0.5</formula>
    </cfRule>
  </conditionalFormatting>
  <conditionalFormatting sqref="T270:T275">
    <cfRule type="cellIs" dxfId="10132" priority="13315" operator="between">
      <formula>0.3751</formula>
      <formula>0.475</formula>
    </cfRule>
    <cfRule type="cellIs" dxfId="10131" priority="13316" operator="between">
      <formula>0.2551</formula>
      <formula>0.375</formula>
    </cfRule>
    <cfRule type="cellIs" dxfId="10130" priority="13317" operator="greaterThan">
      <formula>0.505</formula>
    </cfRule>
    <cfRule type="cellIs" dxfId="10129" priority="13318" operator="between">
      <formula>0.48</formula>
      <formula>0.5</formula>
    </cfRule>
    <cfRule type="cellIs" dxfId="10128" priority="13319" stopIfTrue="1" operator="between">
      <formula>0</formula>
      <formula>0.255</formula>
    </cfRule>
  </conditionalFormatting>
  <conditionalFormatting sqref="AA270:AC275">
    <cfRule type="cellIs" dxfId="10127" priority="13310" operator="between">
      <formula>0.56251</formula>
      <formula>0.7125</formula>
    </cfRule>
    <cfRule type="cellIs" dxfId="10126" priority="13311" operator="between">
      <formula>0.3751</formula>
      <formula>0.5625</formula>
    </cfRule>
    <cfRule type="cellIs" dxfId="10125" priority="13312" operator="greaterThan">
      <formula>0.751</formula>
    </cfRule>
    <cfRule type="cellIs" dxfId="10124" priority="13313" operator="between">
      <formula>0.71251</formula>
      <formula>0.75</formula>
    </cfRule>
    <cfRule type="cellIs" dxfId="10123" priority="13314" stopIfTrue="1" operator="between">
      <formula>0</formula>
      <formula>0.375</formula>
    </cfRule>
  </conditionalFormatting>
  <conditionalFormatting sqref="U270:U275">
    <cfRule type="cellIs" dxfId="10122" priority="13300" operator="between">
      <formula>0.376</formula>
      <formula>0.475</formula>
    </cfRule>
    <cfRule type="cellIs" dxfId="10121" priority="13301" operator="between">
      <formula>0.2551</formula>
      <formula>0.3751</formula>
    </cfRule>
    <cfRule type="cellIs" dxfId="10120" priority="13302" operator="greaterThan">
      <formula>0.505</formula>
    </cfRule>
    <cfRule type="cellIs" dxfId="10119" priority="13303" operator="between">
      <formula>0.48</formula>
      <formula>0.5</formula>
    </cfRule>
    <cfRule type="cellIs" dxfId="10118" priority="13304" stopIfTrue="1" operator="between">
      <formula>0</formula>
      <formula>0.255</formula>
    </cfRule>
  </conditionalFormatting>
  <conditionalFormatting sqref="S270:S275">
    <cfRule type="cellIs" dxfId="10117" priority="13292" operator="between">
      <formula>0.76</formula>
      <formula>0.95</formula>
    </cfRule>
    <cfRule type="cellIs" dxfId="10116" priority="13293" operator="between">
      <formula>0.51</formula>
      <formula>0.75</formula>
    </cfRule>
    <cfRule type="cellIs" dxfId="10115" priority="13294" operator="greaterThan">
      <formula>1</formula>
    </cfRule>
    <cfRule type="cellIs" dxfId="10114" priority="13295" operator="between">
      <formula>0.95</formula>
      <formula>1</formula>
    </cfRule>
    <cfRule type="cellIs" dxfId="10113" priority="13296" stopIfTrue="1" operator="between">
      <formula>0</formula>
      <formula>0.5</formula>
    </cfRule>
  </conditionalFormatting>
  <conditionalFormatting sqref="V270:V275">
    <cfRule type="cellIs" dxfId="10112" priority="13287" operator="between">
      <formula>0.376</formula>
      <formula>0.475</formula>
    </cfRule>
    <cfRule type="cellIs" dxfId="10111" priority="13288" operator="between">
      <formula>0.2551</formula>
      <formula>0.3751</formula>
    </cfRule>
    <cfRule type="cellIs" dxfId="10110" priority="13289" operator="greaterThan">
      <formula>0.505</formula>
    </cfRule>
    <cfRule type="cellIs" dxfId="10109" priority="13290" operator="between">
      <formula>0.48</formula>
      <formula>0.5</formula>
    </cfRule>
    <cfRule type="cellIs" dxfId="10108" priority="13291" stopIfTrue="1" operator="between">
      <formula>0</formula>
      <formula>0.255</formula>
    </cfRule>
  </conditionalFormatting>
  <conditionalFormatting sqref="Y276 AF276:AI276 R276">
    <cfRule type="cellIs" dxfId="10107" priority="13282" operator="between">
      <formula>0.76</formula>
      <formula>0.95</formula>
    </cfRule>
    <cfRule type="cellIs" dxfId="10106" priority="13283" operator="between">
      <formula>0.51</formula>
      <formula>0.75</formula>
    </cfRule>
    <cfRule type="cellIs" dxfId="10105" priority="13284" operator="greaterThan">
      <formula>1</formula>
    </cfRule>
    <cfRule type="cellIs" dxfId="10104" priority="13285" operator="between">
      <formula>0.95</formula>
      <formula>1</formula>
    </cfRule>
    <cfRule type="cellIs" dxfId="10103" priority="13286" stopIfTrue="1" operator="between">
      <formula>0</formula>
      <formula>0.5</formula>
    </cfRule>
  </conditionalFormatting>
  <conditionalFormatting sqref="T276">
    <cfRule type="cellIs" dxfId="10102" priority="13277" operator="between">
      <formula>0.3751</formula>
      <formula>0.475</formula>
    </cfRule>
    <cfRule type="cellIs" dxfId="10101" priority="13278" operator="between">
      <formula>0.2551</formula>
      <formula>0.375</formula>
    </cfRule>
    <cfRule type="cellIs" dxfId="10100" priority="13279" operator="greaterThan">
      <formula>0.505</formula>
    </cfRule>
    <cfRule type="cellIs" dxfId="10099" priority="13280" operator="between">
      <formula>0.48</formula>
      <formula>0.5</formula>
    </cfRule>
    <cfRule type="cellIs" dxfId="10098" priority="13281" stopIfTrue="1" operator="between">
      <formula>0</formula>
      <formula>0.255</formula>
    </cfRule>
  </conditionalFormatting>
  <conditionalFormatting sqref="AA276:AC276">
    <cfRule type="cellIs" dxfId="10097" priority="13272" operator="between">
      <formula>0.56251</formula>
      <formula>0.7125</formula>
    </cfRule>
    <cfRule type="cellIs" dxfId="10096" priority="13273" operator="between">
      <formula>0.3751</formula>
      <formula>0.5625</formula>
    </cfRule>
    <cfRule type="cellIs" dxfId="10095" priority="13274" operator="greaterThan">
      <formula>0.751</formula>
    </cfRule>
    <cfRule type="cellIs" dxfId="10094" priority="13275" operator="between">
      <formula>0.71251</formula>
      <formula>0.75</formula>
    </cfRule>
    <cfRule type="cellIs" dxfId="10093" priority="13276" stopIfTrue="1" operator="between">
      <formula>0</formula>
      <formula>0.375</formula>
    </cfRule>
  </conditionalFormatting>
  <conditionalFormatting sqref="U276">
    <cfRule type="cellIs" dxfId="10092" priority="13262" operator="between">
      <formula>0.376</formula>
      <formula>0.475</formula>
    </cfRule>
    <cfRule type="cellIs" dxfId="10091" priority="13263" operator="between">
      <formula>0.2551</formula>
      <formula>0.3751</formula>
    </cfRule>
    <cfRule type="cellIs" dxfId="10090" priority="13264" operator="greaterThan">
      <formula>0.505</formula>
    </cfRule>
    <cfRule type="cellIs" dxfId="10089" priority="13265" operator="between">
      <formula>0.48</formula>
      <formula>0.5</formula>
    </cfRule>
    <cfRule type="cellIs" dxfId="10088" priority="13266" stopIfTrue="1" operator="between">
      <formula>0</formula>
      <formula>0.255</formula>
    </cfRule>
  </conditionalFormatting>
  <conditionalFormatting sqref="S276">
    <cfRule type="cellIs" dxfId="10087" priority="13254" operator="between">
      <formula>0.76</formula>
      <formula>0.95</formula>
    </cfRule>
    <cfRule type="cellIs" dxfId="10086" priority="13255" operator="between">
      <formula>0.51</formula>
      <formula>0.75</formula>
    </cfRule>
    <cfRule type="cellIs" dxfId="10085" priority="13256" operator="greaterThan">
      <formula>1</formula>
    </cfRule>
    <cfRule type="cellIs" dxfId="10084" priority="13257" operator="between">
      <formula>0.95</formula>
      <formula>1</formula>
    </cfRule>
    <cfRule type="cellIs" dxfId="10083" priority="13258" stopIfTrue="1" operator="between">
      <formula>0</formula>
      <formula>0.5</formula>
    </cfRule>
  </conditionalFormatting>
  <conditionalFormatting sqref="V276">
    <cfRule type="cellIs" dxfId="10082" priority="13249" operator="between">
      <formula>0.376</formula>
      <formula>0.475</formula>
    </cfRule>
    <cfRule type="cellIs" dxfId="10081" priority="13250" operator="between">
      <formula>0.2551</formula>
      <formula>0.3751</formula>
    </cfRule>
    <cfRule type="cellIs" dxfId="10080" priority="13251" operator="greaterThan">
      <formula>0.505</formula>
    </cfRule>
    <cfRule type="cellIs" dxfId="10079" priority="13252" operator="between">
      <formula>0.48</formula>
      <formula>0.5</formula>
    </cfRule>
    <cfRule type="cellIs" dxfId="10078" priority="13253" stopIfTrue="1" operator="between">
      <formula>0</formula>
      <formula>0.255</formula>
    </cfRule>
  </conditionalFormatting>
  <conditionalFormatting sqref="AI312">
    <cfRule type="cellIs" dxfId="10077" priority="13244" operator="between">
      <formula>0.76</formula>
      <formula>0.95</formula>
    </cfRule>
    <cfRule type="cellIs" dxfId="10076" priority="13245" operator="between">
      <formula>0.51</formula>
      <formula>0.75</formula>
    </cfRule>
    <cfRule type="cellIs" dxfId="10075" priority="13246" operator="greaterThan">
      <formula>1</formula>
    </cfRule>
    <cfRule type="cellIs" dxfId="10074" priority="13247" operator="between">
      <formula>0.95</formula>
      <formula>1</formula>
    </cfRule>
    <cfRule type="cellIs" dxfId="10073" priority="13248" stopIfTrue="1" operator="between">
      <formula>0</formula>
      <formula>0.5</formula>
    </cfRule>
  </conditionalFormatting>
  <conditionalFormatting sqref="R312">
    <cfRule type="cellIs" dxfId="10072" priority="13234" operator="between">
      <formula>0.76</formula>
      <formula>0.95</formula>
    </cfRule>
    <cfRule type="cellIs" dxfId="10071" priority="13235" operator="between">
      <formula>0.51</formula>
      <formula>0.75</formula>
    </cfRule>
    <cfRule type="cellIs" dxfId="10070" priority="13236" operator="greaterThan">
      <formula>1</formula>
    </cfRule>
    <cfRule type="cellIs" dxfId="10069" priority="13237" operator="between">
      <formula>0.95</formula>
      <formula>1</formula>
    </cfRule>
    <cfRule type="cellIs" dxfId="10068" priority="13238" stopIfTrue="1" operator="between">
      <formula>0</formula>
      <formula>0.5</formula>
    </cfRule>
  </conditionalFormatting>
  <conditionalFormatting sqref="Y312">
    <cfRule type="cellIs" dxfId="10067" priority="13229" operator="between">
      <formula>0.76</formula>
      <formula>0.95</formula>
    </cfRule>
    <cfRule type="cellIs" dxfId="10066" priority="13230" operator="between">
      <formula>0.51</formula>
      <formula>0.75</formula>
    </cfRule>
    <cfRule type="cellIs" dxfId="10065" priority="13231" operator="greaterThan">
      <formula>1</formula>
    </cfRule>
    <cfRule type="cellIs" dxfId="10064" priority="13232" operator="between">
      <formula>0.95</formula>
      <formula>1</formula>
    </cfRule>
    <cfRule type="cellIs" dxfId="10063" priority="13233" stopIfTrue="1" operator="between">
      <formula>0</formula>
      <formula>0.5</formula>
    </cfRule>
  </conditionalFormatting>
  <conditionalFormatting sqref="AF312">
    <cfRule type="cellIs" dxfId="10062" priority="13224" operator="between">
      <formula>0.76</formula>
      <formula>0.95</formula>
    </cfRule>
    <cfRule type="cellIs" dxfId="10061" priority="13225" operator="between">
      <formula>0.51</formula>
      <formula>0.75</formula>
    </cfRule>
    <cfRule type="cellIs" dxfId="10060" priority="13226" operator="greaterThan">
      <formula>1</formula>
    </cfRule>
    <cfRule type="cellIs" dxfId="10059" priority="13227" operator="between">
      <formula>0.95</formula>
      <formula>1</formula>
    </cfRule>
    <cfRule type="cellIs" dxfId="10058" priority="13228" stopIfTrue="1" operator="between">
      <formula>0</formula>
      <formula>0.5</formula>
    </cfRule>
  </conditionalFormatting>
  <conditionalFormatting sqref="AH312">
    <cfRule type="cellIs" dxfId="10057" priority="13219" operator="between">
      <formula>0.76</formula>
      <formula>0.95</formula>
    </cfRule>
    <cfRule type="cellIs" dxfId="10056" priority="13220" operator="between">
      <formula>0.51</formula>
      <formula>0.75</formula>
    </cfRule>
    <cfRule type="cellIs" dxfId="10055" priority="13221" operator="greaterThan">
      <formula>1</formula>
    </cfRule>
    <cfRule type="cellIs" dxfId="10054" priority="13222" operator="between">
      <formula>0.95</formula>
      <formula>1</formula>
    </cfRule>
    <cfRule type="cellIs" dxfId="10053" priority="13223" stopIfTrue="1" operator="between">
      <formula>0</formula>
      <formula>0.5</formula>
    </cfRule>
  </conditionalFormatting>
  <conditionalFormatting sqref="T312">
    <cfRule type="cellIs" dxfId="10052" priority="13204" operator="between">
      <formula>0.3751</formula>
      <formula>0.475</formula>
    </cfRule>
    <cfRule type="cellIs" dxfId="10051" priority="13205" operator="between">
      <formula>0.2551</formula>
      <formula>0.375</formula>
    </cfRule>
    <cfRule type="cellIs" dxfId="10050" priority="13206" operator="greaterThan">
      <formula>0.505</formula>
    </cfRule>
    <cfRule type="cellIs" dxfId="10049" priority="13207" operator="between">
      <formula>0.48</formula>
      <formula>0.5</formula>
    </cfRule>
    <cfRule type="cellIs" dxfId="10048" priority="13208" stopIfTrue="1" operator="between">
      <formula>0</formula>
      <formula>0.255</formula>
    </cfRule>
  </conditionalFormatting>
  <conditionalFormatting sqref="U312:V312">
    <cfRule type="cellIs" dxfId="10047" priority="13199" operator="between">
      <formula>0.376</formula>
      <formula>0.475</formula>
    </cfRule>
    <cfRule type="cellIs" dxfId="10046" priority="13200" operator="between">
      <formula>0.2551</formula>
      <formula>0.3751</formula>
    </cfRule>
    <cfRule type="cellIs" dxfId="10045" priority="13201" operator="greaterThan">
      <formula>0.505</formula>
    </cfRule>
    <cfRule type="cellIs" dxfId="10044" priority="13202" operator="between">
      <formula>0.48</formula>
      <formula>0.5</formula>
    </cfRule>
    <cfRule type="cellIs" dxfId="10043" priority="13203" stopIfTrue="1" operator="between">
      <formula>0</formula>
      <formula>0.255</formula>
    </cfRule>
  </conditionalFormatting>
  <conditionalFormatting sqref="AA312">
    <cfRule type="cellIs" dxfId="10042" priority="13194" operator="between">
      <formula>0.56251</formula>
      <formula>0.7125</formula>
    </cfRule>
    <cfRule type="cellIs" dxfId="10041" priority="13195" operator="between">
      <formula>0.3751</formula>
      <formula>0.5625</formula>
    </cfRule>
    <cfRule type="cellIs" dxfId="10040" priority="13196" operator="greaterThan">
      <formula>0.751</formula>
    </cfRule>
    <cfRule type="cellIs" dxfId="10039" priority="13197" operator="between">
      <formula>0.71251</formula>
      <formula>0.75</formula>
    </cfRule>
    <cfRule type="cellIs" dxfId="10038" priority="13198" stopIfTrue="1" operator="between">
      <formula>0</formula>
      <formula>0.375</formula>
    </cfRule>
  </conditionalFormatting>
  <conditionalFormatting sqref="AC312">
    <cfRule type="cellIs" dxfId="10037" priority="13189" operator="between">
      <formula>0.56251</formula>
      <formula>0.7125</formula>
    </cfRule>
    <cfRule type="cellIs" dxfId="10036" priority="13190" operator="between">
      <formula>0.3751</formula>
      <formula>0.5625</formula>
    </cfRule>
    <cfRule type="cellIs" dxfId="10035" priority="13191" operator="greaterThan">
      <formula>0.751</formula>
    </cfRule>
    <cfRule type="cellIs" dxfId="10034" priority="13192" operator="between">
      <formula>0.71251</formula>
      <formula>0.75</formula>
    </cfRule>
    <cfRule type="cellIs" dxfId="10033" priority="13193" stopIfTrue="1" operator="between">
      <formula>0</formula>
      <formula>0.375</formula>
    </cfRule>
  </conditionalFormatting>
  <conditionalFormatting sqref="AB312">
    <cfRule type="cellIs" dxfId="10032" priority="13184" operator="between">
      <formula>0.56251</formula>
      <formula>0.7125</formula>
    </cfRule>
    <cfRule type="cellIs" dxfId="10031" priority="13185" operator="between">
      <formula>0.3751</formula>
      <formula>0.5625</formula>
    </cfRule>
    <cfRule type="cellIs" dxfId="10030" priority="13186" operator="greaterThan">
      <formula>0.751</formula>
    </cfRule>
    <cfRule type="cellIs" dxfId="10029" priority="13187" operator="between">
      <formula>0.71251</formula>
      <formula>0.75</formula>
    </cfRule>
    <cfRule type="cellIs" dxfId="10028" priority="13188" stopIfTrue="1" operator="between">
      <formula>0</formula>
      <formula>0.375</formula>
    </cfRule>
  </conditionalFormatting>
  <conditionalFormatting sqref="S312">
    <cfRule type="cellIs" dxfId="10027" priority="13162" operator="between">
      <formula>0.76</formula>
      <formula>0.95</formula>
    </cfRule>
    <cfRule type="cellIs" dxfId="10026" priority="13163" operator="between">
      <formula>0.51</formula>
      <formula>0.75</formula>
    </cfRule>
    <cfRule type="cellIs" dxfId="10025" priority="13164" operator="greaterThan">
      <formula>1</formula>
    </cfRule>
    <cfRule type="cellIs" dxfId="10024" priority="13165" operator="between">
      <formula>0.95</formula>
      <formula>1</formula>
    </cfRule>
    <cfRule type="cellIs" dxfId="10023" priority="13166" stopIfTrue="1" operator="between">
      <formula>0</formula>
      <formula>0.5</formula>
    </cfRule>
  </conditionalFormatting>
  <conditionalFormatting sqref="Z312">
    <cfRule type="cellIs" dxfId="10022" priority="13157" operator="between">
      <formula>0.76</formula>
      <formula>0.95</formula>
    </cfRule>
    <cfRule type="cellIs" dxfId="10021" priority="13158" operator="between">
      <formula>0.51</formula>
      <formula>0.75</formula>
    </cfRule>
    <cfRule type="cellIs" dxfId="10020" priority="13159" operator="greaterThan">
      <formula>1</formula>
    </cfRule>
    <cfRule type="cellIs" dxfId="10019" priority="13160" operator="between">
      <formula>0.95</formula>
      <formula>1</formula>
    </cfRule>
    <cfRule type="cellIs" dxfId="10018" priority="13161" stopIfTrue="1" operator="between">
      <formula>0</formula>
      <formula>0.5</formula>
    </cfRule>
  </conditionalFormatting>
  <conditionalFormatting sqref="AG312">
    <cfRule type="cellIs" dxfId="10017" priority="13152" operator="between">
      <formula>0.76</formula>
      <formula>0.95</formula>
    </cfRule>
    <cfRule type="cellIs" dxfId="10016" priority="13153" operator="between">
      <formula>0.51</formula>
      <formula>0.75</formula>
    </cfRule>
    <cfRule type="cellIs" dxfId="10015" priority="13154" operator="greaterThan">
      <formula>1</formula>
    </cfRule>
    <cfRule type="cellIs" dxfId="10014" priority="13155" operator="between">
      <formula>0.95</formula>
      <formula>1</formula>
    </cfRule>
    <cfRule type="cellIs" dxfId="10013" priority="13156" stopIfTrue="1" operator="between">
      <formula>0</formula>
      <formula>0.5</formula>
    </cfRule>
  </conditionalFormatting>
  <conditionalFormatting sqref="AI313:AI315">
    <cfRule type="cellIs" dxfId="10012" priority="13147" operator="between">
      <formula>0.76</formula>
      <formula>0.95</formula>
    </cfRule>
    <cfRule type="cellIs" dxfId="10011" priority="13148" operator="between">
      <formula>0.51</formula>
      <formula>0.75</formula>
    </cfRule>
    <cfRule type="cellIs" dxfId="10010" priority="13149" operator="greaterThan">
      <formula>1</formula>
    </cfRule>
    <cfRule type="cellIs" dxfId="10009" priority="13150" operator="between">
      <formula>0.95</formula>
      <formula>1</formula>
    </cfRule>
    <cfRule type="cellIs" dxfId="10008" priority="13151" stopIfTrue="1" operator="between">
      <formula>0</formula>
      <formula>0.5</formula>
    </cfRule>
  </conditionalFormatting>
  <conditionalFormatting sqref="R313:R315">
    <cfRule type="cellIs" dxfId="10007" priority="13137" operator="between">
      <formula>0.76</formula>
      <formula>0.95</formula>
    </cfRule>
    <cfRule type="cellIs" dxfId="10006" priority="13138" operator="between">
      <formula>0.51</formula>
      <formula>0.75</formula>
    </cfRule>
    <cfRule type="cellIs" dxfId="10005" priority="13139" operator="greaterThan">
      <formula>1</formula>
    </cfRule>
    <cfRule type="cellIs" dxfId="10004" priority="13140" operator="between">
      <formula>0.95</formula>
      <formula>1</formula>
    </cfRule>
    <cfRule type="cellIs" dxfId="10003" priority="13141" stopIfTrue="1" operator="between">
      <formula>0</formula>
      <formula>0.5</formula>
    </cfRule>
  </conditionalFormatting>
  <conditionalFormatting sqref="Y313:Y315">
    <cfRule type="cellIs" dxfId="10002" priority="13132" operator="between">
      <formula>0.76</formula>
      <formula>0.95</formula>
    </cfRule>
    <cfRule type="cellIs" dxfId="10001" priority="13133" operator="between">
      <formula>0.51</formula>
      <formula>0.75</formula>
    </cfRule>
    <cfRule type="cellIs" dxfId="10000" priority="13134" operator="greaterThan">
      <formula>1</formula>
    </cfRule>
    <cfRule type="cellIs" dxfId="9999" priority="13135" operator="between">
      <formula>0.95</formula>
      <formula>1</formula>
    </cfRule>
    <cfRule type="cellIs" dxfId="9998" priority="13136" stopIfTrue="1" operator="between">
      <formula>0</formula>
      <formula>0.5</formula>
    </cfRule>
  </conditionalFormatting>
  <conditionalFormatting sqref="AF313:AF315">
    <cfRule type="cellIs" dxfId="9997" priority="13127" operator="between">
      <formula>0.76</formula>
      <formula>0.95</formula>
    </cfRule>
    <cfRule type="cellIs" dxfId="9996" priority="13128" operator="between">
      <formula>0.51</formula>
      <formula>0.75</formula>
    </cfRule>
    <cfRule type="cellIs" dxfId="9995" priority="13129" operator="greaterThan">
      <formula>1</formula>
    </cfRule>
    <cfRule type="cellIs" dxfId="9994" priority="13130" operator="between">
      <formula>0.95</formula>
      <formula>1</formula>
    </cfRule>
    <cfRule type="cellIs" dxfId="9993" priority="13131" stopIfTrue="1" operator="between">
      <formula>0</formula>
      <formula>0.5</formula>
    </cfRule>
  </conditionalFormatting>
  <conditionalFormatting sqref="AH313:AH315">
    <cfRule type="cellIs" dxfId="9992" priority="13122" operator="between">
      <formula>0.76</formula>
      <formula>0.95</formula>
    </cfRule>
    <cfRule type="cellIs" dxfId="9991" priority="13123" operator="between">
      <formula>0.51</formula>
      <formula>0.75</formula>
    </cfRule>
    <cfRule type="cellIs" dxfId="9990" priority="13124" operator="greaterThan">
      <formula>1</formula>
    </cfRule>
    <cfRule type="cellIs" dxfId="9989" priority="13125" operator="between">
      <formula>0.95</formula>
      <formula>1</formula>
    </cfRule>
    <cfRule type="cellIs" dxfId="9988" priority="13126" stopIfTrue="1" operator="between">
      <formula>0</formula>
      <formula>0.5</formula>
    </cfRule>
  </conditionalFormatting>
  <conditionalFormatting sqref="T313:T315">
    <cfRule type="cellIs" dxfId="9987" priority="13107" operator="between">
      <formula>0.3751</formula>
      <formula>0.475</formula>
    </cfRule>
    <cfRule type="cellIs" dxfId="9986" priority="13108" operator="between">
      <formula>0.2551</formula>
      <formula>0.375</formula>
    </cfRule>
    <cfRule type="cellIs" dxfId="9985" priority="13109" operator="greaterThan">
      <formula>0.505</formula>
    </cfRule>
    <cfRule type="cellIs" dxfId="9984" priority="13110" operator="between">
      <formula>0.48</formula>
      <formula>0.5</formula>
    </cfRule>
    <cfRule type="cellIs" dxfId="9983" priority="13111" stopIfTrue="1" operator="between">
      <formula>0</formula>
      <formula>0.255</formula>
    </cfRule>
  </conditionalFormatting>
  <conditionalFormatting sqref="U313:V315">
    <cfRule type="cellIs" dxfId="9982" priority="13102" operator="between">
      <formula>0.376</formula>
      <formula>0.475</formula>
    </cfRule>
    <cfRule type="cellIs" dxfId="9981" priority="13103" operator="between">
      <formula>0.2551</formula>
      <formula>0.3751</formula>
    </cfRule>
    <cfRule type="cellIs" dxfId="9980" priority="13104" operator="greaterThan">
      <formula>0.505</formula>
    </cfRule>
    <cfRule type="cellIs" dxfId="9979" priority="13105" operator="between">
      <formula>0.48</formula>
      <formula>0.5</formula>
    </cfRule>
    <cfRule type="cellIs" dxfId="9978" priority="13106" stopIfTrue="1" operator="between">
      <formula>0</formula>
      <formula>0.255</formula>
    </cfRule>
  </conditionalFormatting>
  <conditionalFormatting sqref="AA313:AA315">
    <cfRule type="cellIs" dxfId="9977" priority="13097" operator="between">
      <formula>0.56251</formula>
      <formula>0.7125</formula>
    </cfRule>
    <cfRule type="cellIs" dxfId="9976" priority="13098" operator="between">
      <formula>0.3751</formula>
      <formula>0.5625</formula>
    </cfRule>
    <cfRule type="cellIs" dxfId="9975" priority="13099" operator="greaterThan">
      <formula>0.751</formula>
    </cfRule>
    <cfRule type="cellIs" dxfId="9974" priority="13100" operator="between">
      <formula>0.71251</formula>
      <formula>0.75</formula>
    </cfRule>
    <cfRule type="cellIs" dxfId="9973" priority="13101" stopIfTrue="1" operator="between">
      <formula>0</formula>
      <formula>0.375</formula>
    </cfRule>
  </conditionalFormatting>
  <conditionalFormatting sqref="AC313:AC315">
    <cfRule type="cellIs" dxfId="9972" priority="13092" operator="between">
      <formula>0.56251</formula>
      <formula>0.7125</formula>
    </cfRule>
    <cfRule type="cellIs" dxfId="9971" priority="13093" operator="between">
      <formula>0.3751</formula>
      <formula>0.5625</formula>
    </cfRule>
    <cfRule type="cellIs" dxfId="9970" priority="13094" operator="greaterThan">
      <formula>0.751</formula>
    </cfRule>
    <cfRule type="cellIs" dxfId="9969" priority="13095" operator="between">
      <formula>0.71251</formula>
      <formula>0.75</formula>
    </cfRule>
    <cfRule type="cellIs" dxfId="9968" priority="13096" stopIfTrue="1" operator="between">
      <formula>0</formula>
      <formula>0.375</formula>
    </cfRule>
  </conditionalFormatting>
  <conditionalFormatting sqref="AB313:AB315">
    <cfRule type="cellIs" dxfId="9967" priority="13087" operator="between">
      <formula>0.56251</formula>
      <formula>0.7125</formula>
    </cfRule>
    <cfRule type="cellIs" dxfId="9966" priority="13088" operator="between">
      <formula>0.3751</formula>
      <formula>0.5625</formula>
    </cfRule>
    <cfRule type="cellIs" dxfId="9965" priority="13089" operator="greaterThan">
      <formula>0.751</formula>
    </cfRule>
    <cfRule type="cellIs" dxfId="9964" priority="13090" operator="between">
      <formula>0.71251</formula>
      <formula>0.75</formula>
    </cfRule>
    <cfRule type="cellIs" dxfId="9963" priority="13091" stopIfTrue="1" operator="between">
      <formula>0</formula>
      <formula>0.375</formula>
    </cfRule>
  </conditionalFormatting>
  <conditionalFormatting sqref="S314 S325 S321:S323">
    <cfRule type="cellIs" dxfId="9962" priority="13065" operator="between">
      <formula>0.76</formula>
      <formula>0.95</formula>
    </cfRule>
    <cfRule type="cellIs" dxfId="9961" priority="13066" operator="between">
      <formula>0.51</formula>
      <formula>0.75</formula>
    </cfRule>
    <cfRule type="cellIs" dxfId="9960" priority="13067" operator="greaterThan">
      <formula>1</formula>
    </cfRule>
    <cfRule type="cellIs" dxfId="9959" priority="13068" operator="between">
      <formula>0.95</formula>
      <formula>1</formula>
    </cfRule>
    <cfRule type="cellIs" dxfId="9958" priority="13069" stopIfTrue="1" operator="between">
      <formula>0</formula>
      <formula>0.5</formula>
    </cfRule>
  </conditionalFormatting>
  <conditionalFormatting sqref="Z313 Z315 Z322 Z324">
    <cfRule type="cellIs" dxfId="9957" priority="13060" operator="between">
      <formula>0.76</formula>
      <formula>0.95</formula>
    </cfRule>
    <cfRule type="cellIs" dxfId="9956" priority="13061" operator="between">
      <formula>0.51</formula>
      <formula>0.75</formula>
    </cfRule>
    <cfRule type="cellIs" dxfId="9955" priority="13062" operator="greaterThan">
      <formula>1</formula>
    </cfRule>
    <cfRule type="cellIs" dxfId="9954" priority="13063" operator="between">
      <formula>0.95</formula>
      <formula>1</formula>
    </cfRule>
    <cfRule type="cellIs" dxfId="9953" priority="13064" stopIfTrue="1" operator="between">
      <formula>0</formula>
      <formula>0.5</formula>
    </cfRule>
  </conditionalFormatting>
  <conditionalFormatting sqref="AG313:AG315">
    <cfRule type="cellIs" dxfId="9952" priority="13055" operator="between">
      <formula>0.76</formula>
      <formula>0.95</formula>
    </cfRule>
    <cfRule type="cellIs" dxfId="9951" priority="13056" operator="between">
      <formula>0.51</formula>
      <formula>0.75</formula>
    </cfRule>
    <cfRule type="cellIs" dxfId="9950" priority="13057" operator="greaterThan">
      <formula>1</formula>
    </cfRule>
    <cfRule type="cellIs" dxfId="9949" priority="13058" operator="between">
      <formula>0.95</formula>
      <formula>1</formula>
    </cfRule>
    <cfRule type="cellIs" dxfId="9948" priority="13059" stopIfTrue="1" operator="between">
      <formula>0</formula>
      <formula>0.5</formula>
    </cfRule>
  </conditionalFormatting>
  <conditionalFormatting sqref="AI326:AI330">
    <cfRule type="cellIs" dxfId="9947" priority="13050" operator="between">
      <formula>0.76</formula>
      <formula>0.95</formula>
    </cfRule>
    <cfRule type="cellIs" dxfId="9946" priority="13051" operator="between">
      <formula>0.51</formula>
      <formula>0.75</formula>
    </cfRule>
    <cfRule type="cellIs" dxfId="9945" priority="13052" operator="greaterThan">
      <formula>1</formula>
    </cfRule>
    <cfRule type="cellIs" dxfId="9944" priority="13053" operator="between">
      <formula>0.95</formula>
      <formula>1</formula>
    </cfRule>
    <cfRule type="cellIs" dxfId="9943" priority="13054" stopIfTrue="1" operator="between">
      <formula>0</formula>
      <formula>0.5</formula>
    </cfRule>
  </conditionalFormatting>
  <conditionalFormatting sqref="R326:R330">
    <cfRule type="cellIs" dxfId="9942" priority="13040" operator="between">
      <formula>0.76</formula>
      <formula>0.95</formula>
    </cfRule>
    <cfRule type="cellIs" dxfId="9941" priority="13041" operator="between">
      <formula>0.51</formula>
      <formula>0.75</formula>
    </cfRule>
    <cfRule type="cellIs" dxfId="9940" priority="13042" operator="greaterThan">
      <formula>1</formula>
    </cfRule>
    <cfRule type="cellIs" dxfId="9939" priority="13043" operator="between">
      <formula>0.95</formula>
      <formula>1</formula>
    </cfRule>
    <cfRule type="cellIs" dxfId="9938" priority="13044" stopIfTrue="1" operator="between">
      <formula>0</formula>
      <formula>0.5</formula>
    </cfRule>
  </conditionalFormatting>
  <conditionalFormatting sqref="Y326:Y330">
    <cfRule type="cellIs" dxfId="9937" priority="13035" operator="between">
      <formula>0.76</formula>
      <formula>0.95</formula>
    </cfRule>
    <cfRule type="cellIs" dxfId="9936" priority="13036" operator="between">
      <formula>0.51</formula>
      <formula>0.75</formula>
    </cfRule>
    <cfRule type="cellIs" dxfId="9935" priority="13037" operator="greaterThan">
      <formula>1</formula>
    </cfRule>
    <cfRule type="cellIs" dxfId="9934" priority="13038" operator="between">
      <formula>0.95</formula>
      <formula>1</formula>
    </cfRule>
    <cfRule type="cellIs" dxfId="9933" priority="13039" stopIfTrue="1" operator="between">
      <formula>0</formula>
      <formula>0.5</formula>
    </cfRule>
  </conditionalFormatting>
  <conditionalFormatting sqref="AF326:AF330">
    <cfRule type="cellIs" dxfId="9932" priority="13030" operator="between">
      <formula>0.76</formula>
      <formula>0.95</formula>
    </cfRule>
    <cfRule type="cellIs" dxfId="9931" priority="13031" operator="between">
      <formula>0.51</formula>
      <formula>0.75</formula>
    </cfRule>
    <cfRule type="cellIs" dxfId="9930" priority="13032" operator="greaterThan">
      <formula>1</formula>
    </cfRule>
    <cfRule type="cellIs" dxfId="9929" priority="13033" operator="between">
      <formula>0.95</formula>
      <formula>1</formula>
    </cfRule>
    <cfRule type="cellIs" dxfId="9928" priority="13034" stopIfTrue="1" operator="between">
      <formula>0</formula>
      <formula>0.5</formula>
    </cfRule>
  </conditionalFormatting>
  <conditionalFormatting sqref="AH326:AH330">
    <cfRule type="cellIs" dxfId="9927" priority="13025" operator="between">
      <formula>0.76</formula>
      <formula>0.95</formula>
    </cfRule>
    <cfRule type="cellIs" dxfId="9926" priority="13026" operator="between">
      <formula>0.51</formula>
      <formula>0.75</formula>
    </cfRule>
    <cfRule type="cellIs" dxfId="9925" priority="13027" operator="greaterThan">
      <formula>1</formula>
    </cfRule>
    <cfRule type="cellIs" dxfId="9924" priority="13028" operator="between">
      <formula>0.95</formula>
      <formula>1</formula>
    </cfRule>
    <cfRule type="cellIs" dxfId="9923" priority="13029" stopIfTrue="1" operator="between">
      <formula>0</formula>
      <formula>0.5</formula>
    </cfRule>
  </conditionalFormatting>
  <conditionalFormatting sqref="T326:T330">
    <cfRule type="cellIs" dxfId="9922" priority="13010" operator="between">
      <formula>0.3751</formula>
      <formula>0.475</formula>
    </cfRule>
    <cfRule type="cellIs" dxfId="9921" priority="13011" operator="between">
      <formula>0.2551</formula>
      <formula>0.375</formula>
    </cfRule>
    <cfRule type="cellIs" dxfId="9920" priority="13012" operator="greaterThan">
      <formula>0.505</formula>
    </cfRule>
    <cfRule type="cellIs" dxfId="9919" priority="13013" operator="between">
      <formula>0.48</formula>
      <formula>0.5</formula>
    </cfRule>
    <cfRule type="cellIs" dxfId="9918" priority="13014" stopIfTrue="1" operator="between">
      <formula>0</formula>
      <formula>0.255</formula>
    </cfRule>
  </conditionalFormatting>
  <conditionalFormatting sqref="U327:V330 U326">
    <cfRule type="cellIs" dxfId="9917" priority="13005" operator="between">
      <formula>0.376</formula>
      <formula>0.475</formula>
    </cfRule>
    <cfRule type="cellIs" dxfId="9916" priority="13006" operator="between">
      <formula>0.2551</formula>
      <formula>0.3751</formula>
    </cfRule>
    <cfRule type="cellIs" dxfId="9915" priority="13007" operator="greaterThan">
      <formula>0.505</formula>
    </cfRule>
    <cfRule type="cellIs" dxfId="9914" priority="13008" operator="between">
      <formula>0.48</formula>
      <formula>0.5</formula>
    </cfRule>
    <cfRule type="cellIs" dxfId="9913" priority="13009" stopIfTrue="1" operator="between">
      <formula>0</formula>
      <formula>0.255</formula>
    </cfRule>
  </conditionalFormatting>
  <conditionalFormatting sqref="AA327:AA330">
    <cfRule type="cellIs" dxfId="9912" priority="13000" operator="between">
      <formula>0.56251</formula>
      <formula>0.7125</formula>
    </cfRule>
    <cfRule type="cellIs" dxfId="9911" priority="13001" operator="between">
      <formula>0.3751</formula>
      <formula>0.5625</formula>
    </cfRule>
    <cfRule type="cellIs" dxfId="9910" priority="13002" operator="greaterThan">
      <formula>0.751</formula>
    </cfRule>
    <cfRule type="cellIs" dxfId="9909" priority="13003" operator="between">
      <formula>0.71251</formula>
      <formula>0.75</formula>
    </cfRule>
    <cfRule type="cellIs" dxfId="9908" priority="13004" stopIfTrue="1" operator="between">
      <formula>0</formula>
      <formula>0.375</formula>
    </cfRule>
  </conditionalFormatting>
  <conditionalFormatting sqref="AC327:AC330">
    <cfRule type="cellIs" dxfId="9907" priority="12995" operator="between">
      <formula>0.56251</formula>
      <formula>0.7125</formula>
    </cfRule>
    <cfRule type="cellIs" dxfId="9906" priority="12996" operator="between">
      <formula>0.3751</formula>
      <formula>0.5625</formula>
    </cfRule>
    <cfRule type="cellIs" dxfId="9905" priority="12997" operator="greaterThan">
      <formula>0.751</formula>
    </cfRule>
    <cfRule type="cellIs" dxfId="9904" priority="12998" operator="between">
      <formula>0.71251</formula>
      <formula>0.75</formula>
    </cfRule>
    <cfRule type="cellIs" dxfId="9903" priority="12999" stopIfTrue="1" operator="between">
      <formula>0</formula>
      <formula>0.375</formula>
    </cfRule>
  </conditionalFormatting>
  <conditionalFormatting sqref="AB327:AB330">
    <cfRule type="cellIs" dxfId="9902" priority="12990" operator="between">
      <formula>0.56251</formula>
      <formula>0.7125</formula>
    </cfRule>
    <cfRule type="cellIs" dxfId="9901" priority="12991" operator="between">
      <formula>0.3751</formula>
      <formula>0.5625</formula>
    </cfRule>
    <cfRule type="cellIs" dxfId="9900" priority="12992" operator="greaterThan">
      <formula>0.751</formula>
    </cfRule>
    <cfRule type="cellIs" dxfId="9899" priority="12993" operator="between">
      <formula>0.71251</formula>
      <formula>0.75</formula>
    </cfRule>
    <cfRule type="cellIs" dxfId="9898" priority="12994" stopIfTrue="1" operator="between">
      <formula>0</formula>
      <formula>0.375</formula>
    </cfRule>
  </conditionalFormatting>
  <conditionalFormatting sqref="S326:S328 S330">
    <cfRule type="cellIs" dxfId="9897" priority="12968" operator="between">
      <formula>0.76</formula>
      <formula>0.95</formula>
    </cfRule>
    <cfRule type="cellIs" dxfId="9896" priority="12969" operator="between">
      <formula>0.51</formula>
      <formula>0.75</formula>
    </cfRule>
    <cfRule type="cellIs" dxfId="9895" priority="12970" operator="greaterThan">
      <formula>1</formula>
    </cfRule>
    <cfRule type="cellIs" dxfId="9894" priority="12971" operator="between">
      <formula>0.95</formula>
      <formula>1</formula>
    </cfRule>
    <cfRule type="cellIs" dxfId="9893" priority="12972" stopIfTrue="1" operator="between">
      <formula>0</formula>
      <formula>0.5</formula>
    </cfRule>
  </conditionalFormatting>
  <conditionalFormatting sqref="Z327">
    <cfRule type="cellIs" dxfId="9892" priority="12963" operator="between">
      <formula>0.76</formula>
      <formula>0.95</formula>
    </cfRule>
    <cfRule type="cellIs" dxfId="9891" priority="12964" operator="between">
      <formula>0.51</formula>
      <formula>0.75</formula>
    </cfRule>
    <cfRule type="cellIs" dxfId="9890" priority="12965" operator="greaterThan">
      <formula>1</formula>
    </cfRule>
    <cfRule type="cellIs" dxfId="9889" priority="12966" operator="between">
      <formula>0.95</formula>
      <formula>1</formula>
    </cfRule>
    <cfRule type="cellIs" dxfId="9888" priority="12967" stopIfTrue="1" operator="between">
      <formula>0</formula>
      <formula>0.5</formula>
    </cfRule>
  </conditionalFormatting>
  <conditionalFormatting sqref="AG326:AG330">
    <cfRule type="cellIs" dxfId="9887" priority="12958" operator="between">
      <formula>0.76</formula>
      <formula>0.95</formula>
    </cfRule>
    <cfRule type="cellIs" dxfId="9886" priority="12959" operator="between">
      <formula>0.51</formula>
      <formula>0.75</formula>
    </cfRule>
    <cfRule type="cellIs" dxfId="9885" priority="12960" operator="greaterThan">
      <formula>1</formula>
    </cfRule>
    <cfRule type="cellIs" dxfId="9884" priority="12961" operator="between">
      <formula>0.95</formula>
      <formula>1</formula>
    </cfRule>
    <cfRule type="cellIs" dxfId="9883" priority="12962" stopIfTrue="1" operator="between">
      <formula>0</formula>
      <formula>0.5</formula>
    </cfRule>
  </conditionalFormatting>
  <conditionalFormatting sqref="S313">
    <cfRule type="cellIs" dxfId="9882" priority="12943" operator="between">
      <formula>0.76</formula>
      <formula>0.95</formula>
    </cfRule>
    <cfRule type="cellIs" dxfId="9881" priority="12944" operator="between">
      <formula>0.51</formula>
      <formula>0.75</formula>
    </cfRule>
    <cfRule type="cellIs" dxfId="9880" priority="12945" operator="greaterThan">
      <formula>1</formula>
    </cfRule>
    <cfRule type="cellIs" dxfId="9879" priority="12946" operator="between">
      <formula>0.95</formula>
      <formula>1</formula>
    </cfRule>
    <cfRule type="cellIs" dxfId="9878" priority="12947" stopIfTrue="1" operator="between">
      <formula>0</formula>
      <formula>0.5</formula>
    </cfRule>
  </conditionalFormatting>
  <conditionalFormatting sqref="S315">
    <cfRule type="cellIs" dxfId="9877" priority="12938" operator="between">
      <formula>0.76</formula>
      <formula>0.95</formula>
    </cfRule>
    <cfRule type="cellIs" dxfId="9876" priority="12939" operator="between">
      <formula>0.51</formula>
      <formula>0.75</formula>
    </cfRule>
    <cfRule type="cellIs" dxfId="9875" priority="12940" operator="greaterThan">
      <formula>1</formula>
    </cfRule>
    <cfRule type="cellIs" dxfId="9874" priority="12941" operator="between">
      <formula>0.95</formula>
      <formula>1</formula>
    </cfRule>
    <cfRule type="cellIs" dxfId="9873" priority="12942" stopIfTrue="1" operator="between">
      <formula>0</formula>
      <formula>0.5</formula>
    </cfRule>
  </conditionalFormatting>
  <conditionalFormatting sqref="S324">
    <cfRule type="cellIs" dxfId="9872" priority="12928" operator="between">
      <formula>0.76</formula>
      <formula>0.95</formula>
    </cfRule>
    <cfRule type="cellIs" dxfId="9871" priority="12929" operator="between">
      <formula>0.51</formula>
      <formula>0.75</formula>
    </cfRule>
    <cfRule type="cellIs" dxfId="9870" priority="12930" operator="greaterThan">
      <formula>1</formula>
    </cfRule>
    <cfRule type="cellIs" dxfId="9869" priority="12931" operator="between">
      <formula>0.95</formula>
      <formula>1</formula>
    </cfRule>
    <cfRule type="cellIs" dxfId="9868" priority="12932" stopIfTrue="1" operator="between">
      <formula>0</formula>
      <formula>0.5</formula>
    </cfRule>
  </conditionalFormatting>
  <conditionalFormatting sqref="S329">
    <cfRule type="cellIs" dxfId="9867" priority="12923" operator="between">
      <formula>0.76</formula>
      <formula>0.95</formula>
    </cfRule>
    <cfRule type="cellIs" dxfId="9866" priority="12924" operator="between">
      <formula>0.51</formula>
      <formula>0.75</formula>
    </cfRule>
    <cfRule type="cellIs" dxfId="9865" priority="12925" operator="greaterThan">
      <formula>1</formula>
    </cfRule>
    <cfRule type="cellIs" dxfId="9864" priority="12926" operator="between">
      <formula>0.95</formula>
      <formula>1</formula>
    </cfRule>
    <cfRule type="cellIs" dxfId="9863" priority="12927" stopIfTrue="1" operator="between">
      <formula>0</formula>
      <formula>0.5</formula>
    </cfRule>
  </conditionalFormatting>
  <conditionalFormatting sqref="Z314">
    <cfRule type="cellIs" dxfId="9862" priority="12918" operator="between">
      <formula>0.76</formula>
      <formula>0.95</formula>
    </cfRule>
    <cfRule type="cellIs" dxfId="9861" priority="12919" operator="between">
      <formula>0.51</formula>
      <formula>0.75</formula>
    </cfRule>
    <cfRule type="cellIs" dxfId="9860" priority="12920" operator="greaterThan">
      <formula>1</formula>
    </cfRule>
    <cfRule type="cellIs" dxfId="9859" priority="12921" operator="between">
      <formula>0.95</formula>
      <formula>1</formula>
    </cfRule>
    <cfRule type="cellIs" dxfId="9858" priority="12922" stopIfTrue="1" operator="between">
      <formula>0</formula>
      <formula>0.5</formula>
    </cfRule>
  </conditionalFormatting>
  <conditionalFormatting sqref="Z321">
    <cfRule type="cellIs" dxfId="9857" priority="12908" operator="between">
      <formula>0.76</formula>
      <formula>0.95</formula>
    </cfRule>
    <cfRule type="cellIs" dxfId="9856" priority="12909" operator="between">
      <formula>0.51</formula>
      <formula>0.75</formula>
    </cfRule>
    <cfRule type="cellIs" dxfId="9855" priority="12910" operator="greaterThan">
      <formula>1</formula>
    </cfRule>
    <cfRule type="cellIs" dxfId="9854" priority="12911" operator="between">
      <formula>0.95</formula>
      <formula>1</formula>
    </cfRule>
    <cfRule type="cellIs" dxfId="9853" priority="12912" stopIfTrue="1" operator="between">
      <formula>0</formula>
      <formula>0.5</formula>
    </cfRule>
  </conditionalFormatting>
  <conditionalFormatting sqref="Z323">
    <cfRule type="cellIs" dxfId="9852" priority="12903" operator="between">
      <formula>0.76</formula>
      <formula>0.95</formula>
    </cfRule>
    <cfRule type="cellIs" dxfId="9851" priority="12904" operator="between">
      <formula>0.51</formula>
      <formula>0.75</formula>
    </cfRule>
    <cfRule type="cellIs" dxfId="9850" priority="12905" operator="greaterThan">
      <formula>1</formula>
    </cfRule>
    <cfRule type="cellIs" dxfId="9849" priority="12906" operator="between">
      <formula>0.95</formula>
      <formula>1</formula>
    </cfRule>
    <cfRule type="cellIs" dxfId="9848" priority="12907" stopIfTrue="1" operator="between">
      <formula>0</formula>
      <formula>0.5</formula>
    </cfRule>
  </conditionalFormatting>
  <conditionalFormatting sqref="Z325">
    <cfRule type="cellIs" dxfId="9847" priority="12898" operator="between">
      <formula>0.76</formula>
      <formula>0.95</formula>
    </cfRule>
    <cfRule type="cellIs" dxfId="9846" priority="12899" operator="between">
      <formula>0.51</formula>
      <formula>0.75</formula>
    </cfRule>
    <cfRule type="cellIs" dxfId="9845" priority="12900" operator="greaterThan">
      <formula>1</formula>
    </cfRule>
    <cfRule type="cellIs" dxfId="9844" priority="12901" operator="between">
      <formula>0.95</formula>
      <formula>1</formula>
    </cfRule>
    <cfRule type="cellIs" dxfId="9843" priority="12902" stopIfTrue="1" operator="between">
      <formula>0</formula>
      <formula>0.5</formula>
    </cfRule>
  </conditionalFormatting>
  <conditionalFormatting sqref="Z328">
    <cfRule type="cellIs" dxfId="9842" priority="12893" operator="between">
      <formula>0.76</formula>
      <formula>0.95</formula>
    </cfRule>
    <cfRule type="cellIs" dxfId="9841" priority="12894" operator="between">
      <formula>0.51</formula>
      <formula>0.75</formula>
    </cfRule>
    <cfRule type="cellIs" dxfId="9840" priority="12895" operator="greaterThan">
      <formula>1</formula>
    </cfRule>
    <cfRule type="cellIs" dxfId="9839" priority="12896" operator="between">
      <formula>0.95</formula>
      <formula>1</formula>
    </cfRule>
    <cfRule type="cellIs" dxfId="9838" priority="12897" stopIfTrue="1" operator="between">
      <formula>0</formula>
      <formula>0.5</formula>
    </cfRule>
  </conditionalFormatting>
  <conditionalFormatting sqref="Z329">
    <cfRule type="cellIs" dxfId="9837" priority="12888" operator="between">
      <formula>0.76</formula>
      <formula>0.95</formula>
    </cfRule>
    <cfRule type="cellIs" dxfId="9836" priority="12889" operator="between">
      <formula>0.51</formula>
      <formula>0.75</formula>
    </cfRule>
    <cfRule type="cellIs" dxfId="9835" priority="12890" operator="greaterThan">
      <formula>1</formula>
    </cfRule>
    <cfRule type="cellIs" dxfId="9834" priority="12891" operator="between">
      <formula>0.95</formula>
      <formula>1</formula>
    </cfRule>
    <cfRule type="cellIs" dxfId="9833" priority="12892" stopIfTrue="1" operator="between">
      <formula>0</formula>
      <formula>0.5</formula>
    </cfRule>
  </conditionalFormatting>
  <conditionalFormatting sqref="Z330">
    <cfRule type="cellIs" dxfId="9832" priority="12883" operator="between">
      <formula>0.76</formula>
      <formula>0.95</formula>
    </cfRule>
    <cfRule type="cellIs" dxfId="9831" priority="12884" operator="between">
      <formula>0.51</formula>
      <formula>0.75</formula>
    </cfRule>
    <cfRule type="cellIs" dxfId="9830" priority="12885" operator="greaterThan">
      <formula>1</formula>
    </cfRule>
    <cfRule type="cellIs" dxfId="9829" priority="12886" operator="between">
      <formula>0.95</formula>
      <formula>1</formula>
    </cfRule>
    <cfRule type="cellIs" dxfId="9828" priority="12887" stopIfTrue="1" operator="between">
      <formula>0</formula>
      <formula>0.5</formula>
    </cfRule>
  </conditionalFormatting>
  <conditionalFormatting sqref="AI352">
    <cfRule type="cellIs" dxfId="9827" priority="12878" operator="between">
      <formula>0.76</formula>
      <formula>0.95</formula>
    </cfRule>
    <cfRule type="cellIs" dxfId="9826" priority="12879" operator="between">
      <formula>0.51</formula>
      <formula>0.75</formula>
    </cfRule>
    <cfRule type="cellIs" dxfId="9825" priority="12880" operator="greaterThan">
      <formula>1</formula>
    </cfRule>
    <cfRule type="cellIs" dxfId="9824" priority="12881" operator="between">
      <formula>0.95</formula>
      <formula>1</formula>
    </cfRule>
    <cfRule type="cellIs" dxfId="9823" priority="12882" stopIfTrue="1" operator="between">
      <formula>0</formula>
      <formula>0.5</formula>
    </cfRule>
  </conditionalFormatting>
  <conditionalFormatting sqref="R352">
    <cfRule type="cellIs" dxfId="9822" priority="12868" operator="between">
      <formula>0.76</formula>
      <formula>0.95</formula>
    </cfRule>
    <cfRule type="cellIs" dxfId="9821" priority="12869" operator="between">
      <formula>0.51</formula>
      <formula>0.75</formula>
    </cfRule>
    <cfRule type="cellIs" dxfId="9820" priority="12870" operator="greaterThan">
      <formula>1</formula>
    </cfRule>
    <cfRule type="cellIs" dxfId="9819" priority="12871" operator="between">
      <formula>0.95</formula>
      <formula>1</formula>
    </cfRule>
    <cfRule type="cellIs" dxfId="9818" priority="12872" stopIfTrue="1" operator="between">
      <formula>0</formula>
      <formula>0.5</formula>
    </cfRule>
  </conditionalFormatting>
  <conditionalFormatting sqref="Y352">
    <cfRule type="cellIs" dxfId="9817" priority="12863" operator="between">
      <formula>0.76</formula>
      <formula>0.95</formula>
    </cfRule>
    <cfRule type="cellIs" dxfId="9816" priority="12864" operator="between">
      <formula>0.51</formula>
      <formula>0.75</formula>
    </cfRule>
    <cfRule type="cellIs" dxfId="9815" priority="12865" operator="greaterThan">
      <formula>1</formula>
    </cfRule>
    <cfRule type="cellIs" dxfId="9814" priority="12866" operator="between">
      <formula>0.95</formula>
      <formula>1</formula>
    </cfRule>
    <cfRule type="cellIs" dxfId="9813" priority="12867" stopIfTrue="1" operator="between">
      <formula>0</formula>
      <formula>0.5</formula>
    </cfRule>
  </conditionalFormatting>
  <conditionalFormatting sqref="AF352">
    <cfRule type="cellIs" dxfId="9812" priority="12858" operator="between">
      <formula>0.76</formula>
      <formula>0.95</formula>
    </cfRule>
    <cfRule type="cellIs" dxfId="9811" priority="12859" operator="between">
      <formula>0.51</formula>
      <formula>0.75</formula>
    </cfRule>
    <cfRule type="cellIs" dxfId="9810" priority="12860" operator="greaterThan">
      <formula>1</formula>
    </cfRule>
    <cfRule type="cellIs" dxfId="9809" priority="12861" operator="between">
      <formula>0.95</formula>
      <formula>1</formula>
    </cfRule>
    <cfRule type="cellIs" dxfId="9808" priority="12862" stopIfTrue="1" operator="between">
      <formula>0</formula>
      <formula>0.5</formula>
    </cfRule>
  </conditionalFormatting>
  <conditionalFormatting sqref="AH352">
    <cfRule type="cellIs" dxfId="9807" priority="12853" operator="between">
      <formula>0.76</formula>
      <formula>0.95</formula>
    </cfRule>
    <cfRule type="cellIs" dxfId="9806" priority="12854" operator="between">
      <formula>0.51</formula>
      <formula>0.75</formula>
    </cfRule>
    <cfRule type="cellIs" dxfId="9805" priority="12855" operator="greaterThan">
      <formula>1</formula>
    </cfRule>
    <cfRule type="cellIs" dxfId="9804" priority="12856" operator="between">
      <formula>0.95</formula>
      <formula>1</formula>
    </cfRule>
    <cfRule type="cellIs" dxfId="9803" priority="12857" stopIfTrue="1" operator="between">
      <formula>0</formula>
      <formula>0.5</formula>
    </cfRule>
  </conditionalFormatting>
  <conditionalFormatting sqref="T352">
    <cfRule type="cellIs" dxfId="9802" priority="12838" operator="between">
      <formula>0.3751</formula>
      <formula>0.475</formula>
    </cfRule>
    <cfRule type="cellIs" dxfId="9801" priority="12839" operator="between">
      <formula>0.2551</formula>
      <formula>0.375</formula>
    </cfRule>
    <cfRule type="cellIs" dxfId="9800" priority="12840" operator="greaterThan">
      <formula>0.505</formula>
    </cfRule>
    <cfRule type="cellIs" dxfId="9799" priority="12841" operator="between">
      <formula>0.48</formula>
      <formula>0.5</formula>
    </cfRule>
    <cfRule type="cellIs" dxfId="9798" priority="12842" stopIfTrue="1" operator="between">
      <formula>0</formula>
      <formula>0.255</formula>
    </cfRule>
  </conditionalFormatting>
  <conditionalFormatting sqref="U331 U350:V350 U352">
    <cfRule type="cellIs" dxfId="9797" priority="12833" operator="between">
      <formula>0.376</formula>
      <formula>0.475</formula>
    </cfRule>
    <cfRule type="cellIs" dxfId="9796" priority="12834" operator="between">
      <formula>0.2551</formula>
      <formula>0.3751</formula>
    </cfRule>
    <cfRule type="cellIs" dxfId="9795" priority="12835" operator="greaterThan">
      <formula>0.505</formula>
    </cfRule>
    <cfRule type="cellIs" dxfId="9794" priority="12836" operator="between">
      <formula>0.48</formula>
      <formula>0.5</formula>
    </cfRule>
    <cfRule type="cellIs" dxfId="9793" priority="12837" stopIfTrue="1" operator="between">
      <formula>0</formula>
      <formula>0.255</formula>
    </cfRule>
  </conditionalFormatting>
  <conditionalFormatting sqref="AA352">
    <cfRule type="cellIs" dxfId="9792" priority="12828" operator="between">
      <formula>0.56251</formula>
      <formula>0.7125</formula>
    </cfRule>
    <cfRule type="cellIs" dxfId="9791" priority="12829" operator="between">
      <formula>0.3751</formula>
      <formula>0.5625</formula>
    </cfRule>
    <cfRule type="cellIs" dxfId="9790" priority="12830" operator="greaterThan">
      <formula>0.751</formula>
    </cfRule>
    <cfRule type="cellIs" dxfId="9789" priority="12831" operator="between">
      <formula>0.71251</formula>
      <formula>0.75</formula>
    </cfRule>
    <cfRule type="cellIs" dxfId="9788" priority="12832" stopIfTrue="1" operator="between">
      <formula>0</formula>
      <formula>0.375</formula>
    </cfRule>
  </conditionalFormatting>
  <conditionalFormatting sqref="AC352">
    <cfRule type="cellIs" dxfId="9787" priority="12823" operator="between">
      <formula>0.56251</formula>
      <formula>0.7125</formula>
    </cfRule>
    <cfRule type="cellIs" dxfId="9786" priority="12824" operator="between">
      <formula>0.3751</formula>
      <formula>0.5625</formula>
    </cfRule>
    <cfRule type="cellIs" dxfId="9785" priority="12825" operator="greaterThan">
      <formula>0.751</formula>
    </cfRule>
    <cfRule type="cellIs" dxfId="9784" priority="12826" operator="between">
      <formula>0.71251</formula>
      <formula>0.75</formula>
    </cfRule>
    <cfRule type="cellIs" dxfId="9783" priority="12827" stopIfTrue="1" operator="between">
      <formula>0</formula>
      <formula>0.375</formula>
    </cfRule>
  </conditionalFormatting>
  <conditionalFormatting sqref="AB352">
    <cfRule type="cellIs" dxfId="9782" priority="12818" operator="between">
      <formula>0.56251</formula>
      <formula>0.7125</formula>
    </cfRule>
    <cfRule type="cellIs" dxfId="9781" priority="12819" operator="between">
      <formula>0.3751</formula>
      <formula>0.5625</formula>
    </cfRule>
    <cfRule type="cellIs" dxfId="9780" priority="12820" operator="greaterThan">
      <formula>0.751</formula>
    </cfRule>
    <cfRule type="cellIs" dxfId="9779" priority="12821" operator="between">
      <formula>0.71251</formula>
      <formula>0.75</formula>
    </cfRule>
    <cfRule type="cellIs" dxfId="9778" priority="12822" stopIfTrue="1" operator="between">
      <formula>0</formula>
      <formula>0.375</formula>
    </cfRule>
  </conditionalFormatting>
  <conditionalFormatting sqref="S350">
    <cfRule type="cellIs" dxfId="9777" priority="12796" operator="between">
      <formula>0.76</formula>
      <formula>0.95</formula>
    </cfRule>
    <cfRule type="cellIs" dxfId="9776" priority="12797" operator="between">
      <formula>0.51</formula>
      <formula>0.75</formula>
    </cfRule>
    <cfRule type="cellIs" dxfId="9775" priority="12798" operator="greaterThan">
      <formula>1</formula>
    </cfRule>
    <cfRule type="cellIs" dxfId="9774" priority="12799" operator="between">
      <formula>0.95</formula>
      <formula>1</formula>
    </cfRule>
    <cfRule type="cellIs" dxfId="9773" priority="12800" stopIfTrue="1" operator="between">
      <formula>0</formula>
      <formula>0.5</formula>
    </cfRule>
  </conditionalFormatting>
  <conditionalFormatting sqref="Z352">
    <cfRule type="cellIs" dxfId="9772" priority="12786" operator="between">
      <formula>0.76</formula>
      <formula>0.95</formula>
    </cfRule>
    <cfRule type="cellIs" dxfId="9771" priority="12787" operator="between">
      <formula>0.51</formula>
      <formula>0.75</formula>
    </cfRule>
    <cfRule type="cellIs" dxfId="9770" priority="12788" operator="greaterThan">
      <formula>1</formula>
    </cfRule>
    <cfRule type="cellIs" dxfId="9769" priority="12789" operator="between">
      <formula>0.95</formula>
      <formula>1</formula>
    </cfRule>
    <cfRule type="cellIs" dxfId="9768" priority="12790" stopIfTrue="1" operator="between">
      <formula>0</formula>
      <formula>0.5</formula>
    </cfRule>
  </conditionalFormatting>
  <conditionalFormatting sqref="S331">
    <cfRule type="cellIs" dxfId="9767" priority="12781" operator="between">
      <formula>0.76</formula>
      <formula>0.95</formula>
    </cfRule>
    <cfRule type="cellIs" dxfId="9766" priority="12782" operator="between">
      <formula>0.51</formula>
      <formula>0.75</formula>
    </cfRule>
    <cfRule type="cellIs" dxfId="9765" priority="12783" operator="greaterThan">
      <formula>1</formula>
    </cfRule>
    <cfRule type="cellIs" dxfId="9764" priority="12784" operator="between">
      <formula>0.95</formula>
      <formula>1</formula>
    </cfRule>
    <cfRule type="cellIs" dxfId="9763" priority="12785" stopIfTrue="1" operator="between">
      <formula>0</formula>
      <formula>0.5</formula>
    </cfRule>
  </conditionalFormatting>
  <conditionalFormatting sqref="V331">
    <cfRule type="cellIs" dxfId="9762" priority="12771" operator="between">
      <formula>0.376</formula>
      <formula>0.475</formula>
    </cfRule>
    <cfRule type="cellIs" dxfId="9761" priority="12772" operator="between">
      <formula>0.2551</formula>
      <formula>0.3751</formula>
    </cfRule>
    <cfRule type="cellIs" dxfId="9760" priority="12773" operator="greaterThan">
      <formula>0.505</formula>
    </cfRule>
    <cfRule type="cellIs" dxfId="9759" priority="12774" operator="between">
      <formula>0.48</formula>
      <formula>0.5</formula>
    </cfRule>
    <cfRule type="cellIs" dxfId="9758" priority="12775" stopIfTrue="1" operator="between">
      <formula>0</formula>
      <formula>0.255</formula>
    </cfRule>
  </conditionalFormatting>
  <conditionalFormatting sqref="S352">
    <cfRule type="cellIs" dxfId="9757" priority="12716" operator="between">
      <formula>0.76</formula>
      <formula>0.95</formula>
    </cfRule>
    <cfRule type="cellIs" dxfId="9756" priority="12717" operator="between">
      <formula>0.51</formula>
      <formula>0.75</formula>
    </cfRule>
    <cfRule type="cellIs" dxfId="9755" priority="12718" operator="greaterThan">
      <formula>1</formula>
    </cfRule>
    <cfRule type="cellIs" dxfId="9754" priority="12719" operator="between">
      <formula>0.95</formula>
      <formula>1</formula>
    </cfRule>
    <cfRule type="cellIs" dxfId="9753" priority="12720" stopIfTrue="1" operator="between">
      <formula>0</formula>
      <formula>0.5</formula>
    </cfRule>
  </conditionalFormatting>
  <conditionalFormatting sqref="V352">
    <cfRule type="cellIs" dxfId="9752" priority="12711" operator="between">
      <formula>0.376</formula>
      <formula>0.475</formula>
    </cfRule>
    <cfRule type="cellIs" dxfId="9751" priority="12712" operator="between">
      <formula>0.2551</formula>
      <formula>0.3751</formula>
    </cfRule>
    <cfRule type="cellIs" dxfId="9750" priority="12713" operator="greaterThan">
      <formula>0.505</formula>
    </cfRule>
    <cfRule type="cellIs" dxfId="9749" priority="12714" operator="between">
      <formula>0.48</formula>
      <formula>0.5</formula>
    </cfRule>
    <cfRule type="cellIs" dxfId="9748" priority="12715" stopIfTrue="1" operator="between">
      <formula>0</formula>
      <formula>0.255</formula>
    </cfRule>
  </conditionalFormatting>
  <conditionalFormatting sqref="AG352">
    <cfRule type="cellIs" dxfId="9747" priority="12671" operator="between">
      <formula>0.76</formula>
      <formula>0.95</formula>
    </cfRule>
    <cfRule type="cellIs" dxfId="9746" priority="12672" operator="between">
      <formula>0.51</formula>
      <formula>0.75</formula>
    </cfRule>
    <cfRule type="cellIs" dxfId="9745" priority="12673" operator="greaterThan">
      <formula>1</formula>
    </cfRule>
    <cfRule type="cellIs" dxfId="9744" priority="12674" operator="between">
      <formula>0.95</formula>
      <formula>1</formula>
    </cfRule>
    <cfRule type="cellIs" dxfId="9743" priority="12675" stopIfTrue="1" operator="between">
      <formula>0</formula>
      <formula>0.5</formula>
    </cfRule>
  </conditionalFormatting>
  <conditionalFormatting sqref="Y277 AF277:AI277 R277">
    <cfRule type="cellIs" dxfId="9742" priority="12666" operator="between">
      <formula>0.76</formula>
      <formula>0.95</formula>
    </cfRule>
    <cfRule type="cellIs" dxfId="9741" priority="12667" operator="between">
      <formula>0.51</formula>
      <formula>0.75</formula>
    </cfRule>
    <cfRule type="cellIs" dxfId="9740" priority="12668" operator="greaterThan">
      <formula>1</formula>
    </cfRule>
    <cfRule type="cellIs" dxfId="9739" priority="12669" operator="between">
      <formula>0.95</formula>
      <formula>1</formula>
    </cfRule>
    <cfRule type="cellIs" dxfId="9738" priority="12670" stopIfTrue="1" operator="between">
      <formula>0</formula>
      <formula>0.5</formula>
    </cfRule>
  </conditionalFormatting>
  <conditionalFormatting sqref="T277">
    <cfRule type="cellIs" dxfId="9737" priority="12661" operator="between">
      <formula>0.3751</formula>
      <formula>0.475</formula>
    </cfRule>
    <cfRule type="cellIs" dxfId="9736" priority="12662" operator="between">
      <formula>0.2551</formula>
      <formula>0.375</formula>
    </cfRule>
    <cfRule type="cellIs" dxfId="9735" priority="12663" operator="greaterThan">
      <formula>0.505</formula>
    </cfRule>
    <cfRule type="cellIs" dxfId="9734" priority="12664" operator="between">
      <formula>0.48</formula>
      <formula>0.5</formula>
    </cfRule>
    <cfRule type="cellIs" dxfId="9733" priority="12665" stopIfTrue="1" operator="between">
      <formula>0</formula>
      <formula>0.255</formula>
    </cfRule>
  </conditionalFormatting>
  <conditionalFormatting sqref="AA277:AB277">
    <cfRule type="cellIs" dxfId="9732" priority="12656" operator="between">
      <formula>0.56251</formula>
      <formula>0.7125</formula>
    </cfRule>
    <cfRule type="cellIs" dxfId="9731" priority="12657" operator="between">
      <formula>0.3751</formula>
      <formula>0.5625</formula>
    </cfRule>
    <cfRule type="cellIs" dxfId="9730" priority="12658" operator="greaterThan">
      <formula>0.751</formula>
    </cfRule>
    <cfRule type="cellIs" dxfId="9729" priority="12659" operator="between">
      <formula>0.71251</formula>
      <formula>0.75</formula>
    </cfRule>
    <cfRule type="cellIs" dxfId="9728" priority="12660" stopIfTrue="1" operator="between">
      <formula>0</formula>
      <formula>0.375</formula>
    </cfRule>
  </conditionalFormatting>
  <conditionalFormatting sqref="U277">
    <cfRule type="cellIs" dxfId="9727" priority="12646" operator="between">
      <formula>0.376</formula>
      <formula>0.475</formula>
    </cfRule>
    <cfRule type="cellIs" dxfId="9726" priority="12647" operator="between">
      <formula>0.2551</formula>
      <formula>0.3751</formula>
    </cfRule>
    <cfRule type="cellIs" dxfId="9725" priority="12648" operator="greaterThan">
      <formula>0.505</formula>
    </cfRule>
    <cfRule type="cellIs" dxfId="9724" priority="12649" operator="between">
      <formula>0.48</formula>
      <formula>0.5</formula>
    </cfRule>
    <cfRule type="cellIs" dxfId="9723" priority="12650" stopIfTrue="1" operator="between">
      <formula>0</formula>
      <formula>0.255</formula>
    </cfRule>
  </conditionalFormatting>
  <conditionalFormatting sqref="S277">
    <cfRule type="cellIs" dxfId="9722" priority="12638" operator="between">
      <formula>0.76</formula>
      <formula>0.95</formula>
    </cfRule>
    <cfRule type="cellIs" dxfId="9721" priority="12639" operator="between">
      <formula>0.51</formula>
      <formula>0.75</formula>
    </cfRule>
    <cfRule type="cellIs" dxfId="9720" priority="12640" operator="greaterThan">
      <formula>1</formula>
    </cfRule>
    <cfRule type="cellIs" dxfId="9719" priority="12641" operator="between">
      <formula>0.95</formula>
      <formula>1</formula>
    </cfRule>
    <cfRule type="cellIs" dxfId="9718" priority="12642" stopIfTrue="1" operator="between">
      <formula>0</formula>
      <formula>0.5</formula>
    </cfRule>
  </conditionalFormatting>
  <conditionalFormatting sqref="V277">
    <cfRule type="cellIs" dxfId="9717" priority="12633" operator="between">
      <formula>0.376</formula>
      <formula>0.475</formula>
    </cfRule>
    <cfRule type="cellIs" dxfId="9716" priority="12634" operator="between">
      <formula>0.2551</formula>
      <formula>0.3751</formula>
    </cfRule>
    <cfRule type="cellIs" dxfId="9715" priority="12635" operator="greaterThan">
      <formula>0.505</formula>
    </cfRule>
    <cfRule type="cellIs" dxfId="9714" priority="12636" operator="between">
      <formula>0.48</formula>
      <formula>0.5</formula>
    </cfRule>
    <cfRule type="cellIs" dxfId="9713" priority="12637" stopIfTrue="1" operator="between">
      <formula>0</formula>
      <formula>0.255</formula>
    </cfRule>
  </conditionalFormatting>
  <conditionalFormatting sqref="Z270:Z271">
    <cfRule type="cellIs" dxfId="9712" priority="12628" operator="between">
      <formula>0.76</formula>
      <formula>0.95</formula>
    </cfRule>
    <cfRule type="cellIs" dxfId="9711" priority="12629" operator="between">
      <formula>0.51</formula>
      <formula>0.75</formula>
    </cfRule>
    <cfRule type="cellIs" dxfId="9710" priority="12630" operator="greaterThan">
      <formula>1</formula>
    </cfRule>
    <cfRule type="cellIs" dxfId="9709" priority="12631" operator="between">
      <formula>0.95</formula>
      <formula>1</formula>
    </cfRule>
    <cfRule type="cellIs" dxfId="9708" priority="12632" stopIfTrue="1" operator="between">
      <formula>0</formula>
      <formula>0.5</formula>
    </cfRule>
  </conditionalFormatting>
  <conditionalFormatting sqref="Z276">
    <cfRule type="cellIs" dxfId="9707" priority="12623" operator="between">
      <formula>0.76</formula>
      <formula>0.95</formula>
    </cfRule>
    <cfRule type="cellIs" dxfId="9706" priority="12624" operator="between">
      <formula>0.51</formula>
      <formula>0.75</formula>
    </cfRule>
    <cfRule type="cellIs" dxfId="9705" priority="12625" operator="greaterThan">
      <formula>1</formula>
    </cfRule>
    <cfRule type="cellIs" dxfId="9704" priority="12626" operator="between">
      <formula>0.95</formula>
      <formula>1</formula>
    </cfRule>
    <cfRule type="cellIs" dxfId="9703" priority="12627" stopIfTrue="1" operator="between">
      <formula>0</formula>
      <formula>0.5</formula>
    </cfRule>
  </conditionalFormatting>
  <conditionalFormatting sqref="Z277">
    <cfRule type="cellIs" dxfId="9702" priority="12618" operator="between">
      <formula>0.76</formula>
      <formula>0.95</formula>
    </cfRule>
    <cfRule type="cellIs" dxfId="9701" priority="12619" operator="between">
      <formula>0.51</formula>
      <formula>0.75</formula>
    </cfRule>
    <cfRule type="cellIs" dxfId="9700" priority="12620" operator="greaterThan">
      <formula>1</formula>
    </cfRule>
    <cfRule type="cellIs" dxfId="9699" priority="12621" operator="between">
      <formula>0.95</formula>
      <formula>1</formula>
    </cfRule>
    <cfRule type="cellIs" dxfId="9698" priority="12622" stopIfTrue="1" operator="between">
      <formula>0</formula>
      <formula>0.5</formula>
    </cfRule>
  </conditionalFormatting>
  <conditionalFormatting sqref="AC277">
    <cfRule type="cellIs" dxfId="9697" priority="12613" operator="between">
      <formula>0.56251</formula>
      <formula>0.7125</formula>
    </cfRule>
    <cfRule type="cellIs" dxfId="9696" priority="12614" operator="between">
      <formula>0.3751</formula>
      <formula>0.5625</formula>
    </cfRule>
    <cfRule type="cellIs" dxfId="9695" priority="12615" operator="greaterThan">
      <formula>0.751</formula>
    </cfRule>
    <cfRule type="cellIs" dxfId="9694" priority="12616" operator="between">
      <formula>0.71251</formula>
      <formula>0.75</formula>
    </cfRule>
    <cfRule type="cellIs" dxfId="9693" priority="12617" stopIfTrue="1" operator="between">
      <formula>0</formula>
      <formula>0.375</formula>
    </cfRule>
  </conditionalFormatting>
  <conditionalFormatting sqref="Y278:Y279 AF278:AI279 R278:R279">
    <cfRule type="cellIs" dxfId="9692" priority="12608" operator="between">
      <formula>0.76</formula>
      <formula>0.95</formula>
    </cfRule>
    <cfRule type="cellIs" dxfId="9691" priority="12609" operator="between">
      <formula>0.51</formula>
      <formula>0.75</formula>
    </cfRule>
    <cfRule type="cellIs" dxfId="9690" priority="12610" operator="greaterThan">
      <formula>1</formula>
    </cfRule>
    <cfRule type="cellIs" dxfId="9689" priority="12611" operator="between">
      <formula>0.95</formula>
      <formula>1</formula>
    </cfRule>
    <cfRule type="cellIs" dxfId="9688" priority="12612" stopIfTrue="1" operator="between">
      <formula>0</formula>
      <formula>0.5</formula>
    </cfRule>
  </conditionalFormatting>
  <conditionalFormatting sqref="T278:T279">
    <cfRule type="cellIs" dxfId="9687" priority="12603" operator="between">
      <formula>0.3751</formula>
      <formula>0.475</formula>
    </cfRule>
    <cfRule type="cellIs" dxfId="9686" priority="12604" operator="between">
      <formula>0.2551</formula>
      <formula>0.375</formula>
    </cfRule>
    <cfRule type="cellIs" dxfId="9685" priority="12605" operator="greaterThan">
      <formula>0.505</formula>
    </cfRule>
    <cfRule type="cellIs" dxfId="9684" priority="12606" operator="between">
      <formula>0.48</formula>
      <formula>0.5</formula>
    </cfRule>
    <cfRule type="cellIs" dxfId="9683" priority="12607" stopIfTrue="1" operator="between">
      <formula>0</formula>
      <formula>0.255</formula>
    </cfRule>
  </conditionalFormatting>
  <conditionalFormatting sqref="AA278:AB279">
    <cfRule type="cellIs" dxfId="9682" priority="12598" operator="between">
      <formula>0.56251</formula>
      <formula>0.7125</formula>
    </cfRule>
    <cfRule type="cellIs" dxfId="9681" priority="12599" operator="between">
      <formula>0.3751</formula>
      <formula>0.5625</formula>
    </cfRule>
    <cfRule type="cellIs" dxfId="9680" priority="12600" operator="greaterThan">
      <formula>0.751</formula>
    </cfRule>
    <cfRule type="cellIs" dxfId="9679" priority="12601" operator="between">
      <formula>0.71251</formula>
      <formula>0.75</formula>
    </cfRule>
    <cfRule type="cellIs" dxfId="9678" priority="12602" stopIfTrue="1" operator="between">
      <formula>0</formula>
      <formula>0.375</formula>
    </cfRule>
  </conditionalFormatting>
  <conditionalFormatting sqref="U278:U279">
    <cfRule type="cellIs" dxfId="9677" priority="12588" operator="between">
      <formula>0.376</formula>
      <formula>0.475</formula>
    </cfRule>
    <cfRule type="cellIs" dxfId="9676" priority="12589" operator="between">
      <formula>0.2551</formula>
      <formula>0.3751</formula>
    </cfRule>
    <cfRule type="cellIs" dxfId="9675" priority="12590" operator="greaterThan">
      <formula>0.505</formula>
    </cfRule>
    <cfRule type="cellIs" dxfId="9674" priority="12591" operator="between">
      <formula>0.48</formula>
      <formula>0.5</formula>
    </cfRule>
    <cfRule type="cellIs" dxfId="9673" priority="12592" stopIfTrue="1" operator="between">
      <formula>0</formula>
      <formula>0.255</formula>
    </cfRule>
  </conditionalFormatting>
  <conditionalFormatting sqref="S278:S279">
    <cfRule type="cellIs" dxfId="9672" priority="12580" operator="between">
      <formula>0.76</formula>
      <formula>0.95</formula>
    </cfRule>
    <cfRule type="cellIs" dxfId="9671" priority="12581" operator="between">
      <formula>0.51</formula>
      <formula>0.75</formula>
    </cfRule>
    <cfRule type="cellIs" dxfId="9670" priority="12582" operator="greaterThan">
      <formula>1</formula>
    </cfRule>
    <cfRule type="cellIs" dxfId="9669" priority="12583" operator="between">
      <formula>0.95</formula>
      <formula>1</formula>
    </cfRule>
    <cfRule type="cellIs" dxfId="9668" priority="12584" stopIfTrue="1" operator="between">
      <formula>0</formula>
      <formula>0.5</formula>
    </cfRule>
  </conditionalFormatting>
  <conditionalFormatting sqref="V278:V279">
    <cfRule type="cellIs" dxfId="9667" priority="12575" operator="between">
      <formula>0.376</formula>
      <formula>0.475</formula>
    </cfRule>
    <cfRule type="cellIs" dxfId="9666" priority="12576" operator="between">
      <formula>0.2551</formula>
      <formula>0.3751</formula>
    </cfRule>
    <cfRule type="cellIs" dxfId="9665" priority="12577" operator="greaterThan">
      <formula>0.505</formula>
    </cfRule>
    <cfRule type="cellIs" dxfId="9664" priority="12578" operator="between">
      <formula>0.48</formula>
      <formula>0.5</formula>
    </cfRule>
    <cfRule type="cellIs" dxfId="9663" priority="12579" stopIfTrue="1" operator="between">
      <formula>0</formula>
      <formula>0.255</formula>
    </cfRule>
  </conditionalFormatting>
  <conditionalFormatting sqref="Z278:Z279">
    <cfRule type="cellIs" dxfId="9662" priority="12570" operator="between">
      <formula>0.76</formula>
      <formula>0.95</formula>
    </cfRule>
    <cfRule type="cellIs" dxfId="9661" priority="12571" operator="between">
      <formula>0.51</formula>
      <formula>0.75</formula>
    </cfRule>
    <cfRule type="cellIs" dxfId="9660" priority="12572" operator="greaterThan">
      <formula>1</formula>
    </cfRule>
    <cfRule type="cellIs" dxfId="9659" priority="12573" operator="between">
      <formula>0.95</formula>
      <formula>1</formula>
    </cfRule>
    <cfRule type="cellIs" dxfId="9658" priority="12574" stopIfTrue="1" operator="between">
      <formula>0</formula>
      <formula>0.5</formula>
    </cfRule>
  </conditionalFormatting>
  <conditionalFormatting sqref="AC278:AC279">
    <cfRule type="cellIs" dxfId="9657" priority="12565" operator="between">
      <formula>0.56251</formula>
      <formula>0.7125</formula>
    </cfRule>
    <cfRule type="cellIs" dxfId="9656" priority="12566" operator="between">
      <formula>0.3751</formula>
      <formula>0.5625</formula>
    </cfRule>
    <cfRule type="cellIs" dxfId="9655" priority="12567" operator="greaterThan">
      <formula>0.751</formula>
    </cfRule>
    <cfRule type="cellIs" dxfId="9654" priority="12568" operator="between">
      <formula>0.71251</formula>
      <formula>0.75</formula>
    </cfRule>
    <cfRule type="cellIs" dxfId="9653" priority="12569" stopIfTrue="1" operator="between">
      <formula>0</formula>
      <formula>0.375</formula>
    </cfRule>
  </conditionalFormatting>
  <conditionalFormatting sqref="R184 Y184 AF184 AH184:AI184">
    <cfRule type="cellIs" dxfId="9652" priority="12560" operator="between">
      <formula>0.76</formula>
      <formula>0.95</formula>
    </cfRule>
    <cfRule type="cellIs" dxfId="9651" priority="12561" operator="between">
      <formula>0.51</formula>
      <formula>0.75</formula>
    </cfRule>
    <cfRule type="cellIs" dxfId="9650" priority="12562" operator="greaterThan">
      <formula>1</formula>
    </cfRule>
    <cfRule type="cellIs" dxfId="9649" priority="12563" operator="between">
      <formula>0.95</formula>
      <formula>1</formula>
    </cfRule>
    <cfRule type="cellIs" dxfId="9648" priority="12564" stopIfTrue="1" operator="between">
      <formula>0</formula>
      <formula>0.5</formula>
    </cfRule>
  </conditionalFormatting>
  <conditionalFormatting sqref="T184">
    <cfRule type="cellIs" dxfId="9647" priority="12555" operator="between">
      <formula>0.3751</formula>
      <formula>0.475</formula>
    </cfRule>
    <cfRule type="cellIs" dxfId="9646" priority="12556" operator="between">
      <formula>0.2551</formula>
      <formula>0.375</formula>
    </cfRule>
    <cfRule type="cellIs" dxfId="9645" priority="12557" operator="greaterThan">
      <formula>0.505</formula>
    </cfRule>
    <cfRule type="cellIs" dxfId="9644" priority="12558" operator="between">
      <formula>0.48</formula>
      <formula>0.5</formula>
    </cfRule>
    <cfRule type="cellIs" dxfId="9643" priority="12559" stopIfTrue="1" operator="between">
      <formula>0</formula>
      <formula>0.255</formula>
    </cfRule>
  </conditionalFormatting>
  <conditionalFormatting sqref="AA184:AB184">
    <cfRule type="cellIs" dxfId="9642" priority="12550" operator="between">
      <formula>0.56251</formula>
      <formula>0.7125</formula>
    </cfRule>
    <cfRule type="cellIs" dxfId="9641" priority="12551" operator="between">
      <formula>0.3751</formula>
      <formula>0.5625</formula>
    </cfRule>
    <cfRule type="cellIs" dxfId="9640" priority="12552" operator="greaterThan">
      <formula>0.751</formula>
    </cfRule>
    <cfRule type="cellIs" dxfId="9639" priority="12553" operator="between">
      <formula>0.71251</formula>
      <formula>0.75</formula>
    </cfRule>
    <cfRule type="cellIs" dxfId="9638" priority="12554" stopIfTrue="1" operator="between">
      <formula>0</formula>
      <formula>0.375</formula>
    </cfRule>
  </conditionalFormatting>
  <conditionalFormatting sqref="U184">
    <cfRule type="cellIs" dxfId="9637" priority="12540" operator="between">
      <formula>0.376</formula>
      <formula>0.475</formula>
    </cfRule>
    <cfRule type="cellIs" dxfId="9636" priority="12541" operator="between">
      <formula>0.2551</formula>
      <formula>0.3751</formula>
    </cfRule>
    <cfRule type="cellIs" dxfId="9635" priority="12542" operator="greaterThan">
      <formula>0.505</formula>
    </cfRule>
    <cfRule type="cellIs" dxfId="9634" priority="12543" operator="between">
      <formula>0.48</formula>
      <formula>0.5</formula>
    </cfRule>
    <cfRule type="cellIs" dxfId="9633" priority="12544" stopIfTrue="1" operator="between">
      <formula>0</formula>
      <formula>0.255</formula>
    </cfRule>
  </conditionalFormatting>
  <conditionalFormatting sqref="S184">
    <cfRule type="cellIs" dxfId="9632" priority="12517" operator="between">
      <formula>0.76</formula>
      <formula>0.95</formula>
    </cfRule>
    <cfRule type="cellIs" dxfId="9631" priority="12518" operator="between">
      <formula>0.51</formula>
      <formula>0.75</formula>
    </cfRule>
    <cfRule type="cellIs" dxfId="9630" priority="12519" operator="greaterThan">
      <formula>1</formula>
    </cfRule>
    <cfRule type="cellIs" dxfId="9629" priority="12520" operator="between">
      <formula>0.95</formula>
      <formula>1</formula>
    </cfRule>
    <cfRule type="cellIs" dxfId="9628" priority="12521" stopIfTrue="1" operator="between">
      <formula>0</formula>
      <formula>0.5</formula>
    </cfRule>
  </conditionalFormatting>
  <conditionalFormatting sqref="V184">
    <cfRule type="cellIs" dxfId="9627" priority="12512" operator="between">
      <formula>0.376</formula>
      <formula>0.475</formula>
    </cfRule>
    <cfRule type="cellIs" dxfId="9626" priority="12513" operator="between">
      <formula>0.2551</formula>
      <formula>0.3751</formula>
    </cfRule>
    <cfRule type="cellIs" dxfId="9625" priority="12514" operator="greaterThan">
      <formula>0.505</formula>
    </cfRule>
    <cfRule type="cellIs" dxfId="9624" priority="12515" operator="between">
      <formula>0.48</formula>
      <formula>0.5</formula>
    </cfRule>
    <cfRule type="cellIs" dxfId="9623" priority="12516" stopIfTrue="1" operator="between">
      <formula>0</formula>
      <formula>0.255</formula>
    </cfRule>
  </conditionalFormatting>
  <conditionalFormatting sqref="AC184">
    <cfRule type="cellIs" dxfId="9622" priority="12507" operator="between">
      <formula>0.56251</formula>
      <formula>0.7125</formula>
    </cfRule>
    <cfRule type="cellIs" dxfId="9621" priority="12508" operator="between">
      <formula>0.3751</formula>
      <formula>0.5625</formula>
    </cfRule>
    <cfRule type="cellIs" dxfId="9620" priority="12509" operator="greaterThan">
      <formula>0.751</formula>
    </cfRule>
    <cfRule type="cellIs" dxfId="9619" priority="12510" operator="between">
      <formula>0.71251</formula>
      <formula>0.75</formula>
    </cfRule>
    <cfRule type="cellIs" dxfId="9618" priority="12511" stopIfTrue="1" operator="between">
      <formula>0</formula>
      <formula>0.375</formula>
    </cfRule>
  </conditionalFormatting>
  <conditionalFormatting sqref="Y280 AF280:AI280 R280">
    <cfRule type="cellIs" dxfId="9617" priority="12444" operator="between">
      <formula>0.76</formula>
      <formula>0.95</formula>
    </cfRule>
    <cfRule type="cellIs" dxfId="9616" priority="12445" operator="between">
      <formula>0.51</formula>
      <formula>0.75</formula>
    </cfRule>
    <cfRule type="cellIs" dxfId="9615" priority="12446" operator="greaterThan">
      <formula>1</formula>
    </cfRule>
    <cfRule type="cellIs" dxfId="9614" priority="12447" operator="between">
      <formula>0.95</formula>
      <formula>1</formula>
    </cfRule>
    <cfRule type="cellIs" dxfId="9613" priority="12448" stopIfTrue="1" operator="between">
      <formula>0</formula>
      <formula>0.5</formula>
    </cfRule>
  </conditionalFormatting>
  <conditionalFormatting sqref="T280">
    <cfRule type="cellIs" dxfId="9612" priority="12439" operator="between">
      <formula>0.3751</formula>
      <formula>0.475</formula>
    </cfRule>
    <cfRule type="cellIs" dxfId="9611" priority="12440" operator="between">
      <formula>0.2551</formula>
      <formula>0.375</formula>
    </cfRule>
    <cfRule type="cellIs" dxfId="9610" priority="12441" operator="greaterThan">
      <formula>0.505</formula>
    </cfRule>
    <cfRule type="cellIs" dxfId="9609" priority="12442" operator="between">
      <formula>0.48</formula>
      <formula>0.5</formula>
    </cfRule>
    <cfRule type="cellIs" dxfId="9608" priority="12443" stopIfTrue="1" operator="between">
      <formula>0</formula>
      <formula>0.255</formula>
    </cfRule>
  </conditionalFormatting>
  <conditionalFormatting sqref="AA280:AB280">
    <cfRule type="cellIs" dxfId="9607" priority="12434" operator="between">
      <formula>0.56251</formula>
      <formula>0.7125</formula>
    </cfRule>
    <cfRule type="cellIs" dxfId="9606" priority="12435" operator="between">
      <formula>0.3751</formula>
      <formula>0.5625</formula>
    </cfRule>
    <cfRule type="cellIs" dxfId="9605" priority="12436" operator="greaterThan">
      <formula>0.751</formula>
    </cfRule>
    <cfRule type="cellIs" dxfId="9604" priority="12437" operator="between">
      <formula>0.71251</formula>
      <formula>0.75</formula>
    </cfRule>
    <cfRule type="cellIs" dxfId="9603" priority="12438" stopIfTrue="1" operator="between">
      <formula>0</formula>
      <formula>0.375</formula>
    </cfRule>
  </conditionalFormatting>
  <conditionalFormatting sqref="U280">
    <cfRule type="cellIs" dxfId="9602" priority="12424" operator="between">
      <formula>0.376</formula>
      <formula>0.475</formula>
    </cfRule>
    <cfRule type="cellIs" dxfId="9601" priority="12425" operator="between">
      <formula>0.2551</formula>
      <formula>0.3751</formula>
    </cfRule>
    <cfRule type="cellIs" dxfId="9600" priority="12426" operator="greaterThan">
      <formula>0.505</formula>
    </cfRule>
    <cfRule type="cellIs" dxfId="9599" priority="12427" operator="between">
      <formula>0.48</formula>
      <formula>0.5</formula>
    </cfRule>
    <cfRule type="cellIs" dxfId="9598" priority="12428" stopIfTrue="1" operator="between">
      <formula>0</formula>
      <formula>0.255</formula>
    </cfRule>
  </conditionalFormatting>
  <conditionalFormatting sqref="S280">
    <cfRule type="cellIs" dxfId="9597" priority="12416" operator="between">
      <formula>0.76</formula>
      <formula>0.95</formula>
    </cfRule>
    <cfRule type="cellIs" dxfId="9596" priority="12417" operator="between">
      <formula>0.51</formula>
      <formula>0.75</formula>
    </cfRule>
    <cfRule type="cellIs" dxfId="9595" priority="12418" operator="greaterThan">
      <formula>1</formula>
    </cfRule>
    <cfRule type="cellIs" dxfId="9594" priority="12419" operator="between">
      <formula>0.95</formula>
      <formula>1</formula>
    </cfRule>
    <cfRule type="cellIs" dxfId="9593" priority="12420" stopIfTrue="1" operator="between">
      <formula>0</formula>
      <formula>0.5</formula>
    </cfRule>
  </conditionalFormatting>
  <conditionalFormatting sqref="Z280">
    <cfRule type="cellIs" dxfId="9592" priority="12406" operator="between">
      <formula>0.76</formula>
      <formula>0.95</formula>
    </cfRule>
    <cfRule type="cellIs" dxfId="9591" priority="12407" operator="between">
      <formula>0.51</formula>
      <formula>0.75</formula>
    </cfRule>
    <cfRule type="cellIs" dxfId="9590" priority="12408" operator="greaterThan">
      <formula>1</formula>
    </cfRule>
    <cfRule type="cellIs" dxfId="9589" priority="12409" operator="between">
      <formula>0.95</formula>
      <formula>1</formula>
    </cfRule>
    <cfRule type="cellIs" dxfId="9588" priority="12410" stopIfTrue="1" operator="between">
      <formula>0</formula>
      <formula>0.5</formula>
    </cfRule>
  </conditionalFormatting>
  <conditionalFormatting sqref="AC280">
    <cfRule type="cellIs" dxfId="9587" priority="12401" operator="between">
      <formula>0.56251</formula>
      <formula>0.7125</formula>
    </cfRule>
    <cfRule type="cellIs" dxfId="9586" priority="12402" operator="between">
      <formula>0.3751</formula>
      <formula>0.5625</formula>
    </cfRule>
    <cfRule type="cellIs" dxfId="9585" priority="12403" operator="greaterThan">
      <formula>0.751</formula>
    </cfRule>
    <cfRule type="cellIs" dxfId="9584" priority="12404" operator="between">
      <formula>0.71251</formula>
      <formula>0.75</formula>
    </cfRule>
    <cfRule type="cellIs" dxfId="9583" priority="12405" stopIfTrue="1" operator="between">
      <formula>0</formula>
      <formula>0.375</formula>
    </cfRule>
  </conditionalFormatting>
  <conditionalFormatting sqref="V280">
    <cfRule type="cellIs" dxfId="9582" priority="12376" operator="between">
      <formula>0.376</formula>
      <formula>0.475</formula>
    </cfRule>
    <cfRule type="cellIs" dxfId="9581" priority="12377" operator="between">
      <formula>0.2551</formula>
      <formula>0.3751</formula>
    </cfRule>
    <cfRule type="cellIs" dxfId="9580" priority="12378" operator="greaterThan">
      <formula>0.505</formula>
    </cfRule>
    <cfRule type="cellIs" dxfId="9579" priority="12379" operator="between">
      <formula>0.48</formula>
      <formula>0.5</formula>
    </cfRule>
    <cfRule type="cellIs" dxfId="9578" priority="12380" stopIfTrue="1" operator="between">
      <formula>0</formula>
      <formula>0.255</formula>
    </cfRule>
  </conditionalFormatting>
  <conditionalFormatting sqref="AI356">
    <cfRule type="cellIs" dxfId="9577" priority="12371" operator="between">
      <formula>0.76</formula>
      <formula>0.95</formula>
    </cfRule>
    <cfRule type="cellIs" dxfId="9576" priority="12372" operator="between">
      <formula>0.51</formula>
      <formula>0.75</formula>
    </cfRule>
    <cfRule type="cellIs" dxfId="9575" priority="12373" operator="greaterThan">
      <formula>1</formula>
    </cfRule>
    <cfRule type="cellIs" dxfId="9574" priority="12374" operator="between">
      <formula>0.95</formula>
      <formula>1</formula>
    </cfRule>
    <cfRule type="cellIs" dxfId="9573" priority="12375" stopIfTrue="1" operator="between">
      <formula>0</formula>
      <formula>0.5</formula>
    </cfRule>
  </conditionalFormatting>
  <conditionalFormatting sqref="R356">
    <cfRule type="cellIs" dxfId="9572" priority="12361" operator="between">
      <formula>0.76</formula>
      <formula>0.95</formula>
    </cfRule>
    <cfRule type="cellIs" dxfId="9571" priority="12362" operator="between">
      <formula>0.51</formula>
      <formula>0.75</formula>
    </cfRule>
    <cfRule type="cellIs" dxfId="9570" priority="12363" operator="greaterThan">
      <formula>1</formula>
    </cfRule>
    <cfRule type="cellIs" dxfId="9569" priority="12364" operator="between">
      <formula>0.95</formula>
      <formula>1</formula>
    </cfRule>
    <cfRule type="cellIs" dxfId="9568" priority="12365" stopIfTrue="1" operator="between">
      <formula>0</formula>
      <formula>0.5</formula>
    </cfRule>
  </conditionalFormatting>
  <conditionalFormatting sqref="Y356">
    <cfRule type="cellIs" dxfId="9567" priority="12356" operator="between">
      <formula>0.76</formula>
      <formula>0.95</formula>
    </cfRule>
    <cfRule type="cellIs" dxfId="9566" priority="12357" operator="between">
      <formula>0.51</formula>
      <formula>0.75</formula>
    </cfRule>
    <cfRule type="cellIs" dxfId="9565" priority="12358" operator="greaterThan">
      <formula>1</formula>
    </cfRule>
    <cfRule type="cellIs" dxfId="9564" priority="12359" operator="between">
      <formula>0.95</formula>
      <formula>1</formula>
    </cfRule>
    <cfRule type="cellIs" dxfId="9563" priority="12360" stopIfTrue="1" operator="between">
      <formula>0</formula>
      <formula>0.5</formula>
    </cfRule>
  </conditionalFormatting>
  <conditionalFormatting sqref="AF356">
    <cfRule type="cellIs" dxfId="9562" priority="12351" operator="between">
      <formula>0.76</formula>
      <formula>0.95</formula>
    </cfRule>
    <cfRule type="cellIs" dxfId="9561" priority="12352" operator="between">
      <formula>0.51</formula>
      <formula>0.75</formula>
    </cfRule>
    <cfRule type="cellIs" dxfId="9560" priority="12353" operator="greaterThan">
      <formula>1</formula>
    </cfRule>
    <cfRule type="cellIs" dxfId="9559" priority="12354" operator="between">
      <formula>0.95</formula>
      <formula>1</formula>
    </cfRule>
    <cfRule type="cellIs" dxfId="9558" priority="12355" stopIfTrue="1" operator="between">
      <formula>0</formula>
      <formula>0.5</formula>
    </cfRule>
  </conditionalFormatting>
  <conditionalFormatting sqref="AH356">
    <cfRule type="cellIs" dxfId="9557" priority="12346" operator="between">
      <formula>0.76</formula>
      <formula>0.95</formula>
    </cfRule>
    <cfRule type="cellIs" dxfId="9556" priority="12347" operator="between">
      <formula>0.51</formula>
      <formula>0.75</formula>
    </cfRule>
    <cfRule type="cellIs" dxfId="9555" priority="12348" operator="greaterThan">
      <formula>1</formula>
    </cfRule>
    <cfRule type="cellIs" dxfId="9554" priority="12349" operator="between">
      <formula>0.95</formula>
      <formula>1</formula>
    </cfRule>
    <cfRule type="cellIs" dxfId="9553" priority="12350" stopIfTrue="1" operator="between">
      <formula>0</formula>
      <formula>0.5</formula>
    </cfRule>
  </conditionalFormatting>
  <conditionalFormatting sqref="T356">
    <cfRule type="cellIs" dxfId="9552" priority="12331" operator="between">
      <formula>0.3751</formula>
      <formula>0.475</formula>
    </cfRule>
    <cfRule type="cellIs" dxfId="9551" priority="12332" operator="between">
      <formula>0.2551</formula>
      <formula>0.375</formula>
    </cfRule>
    <cfRule type="cellIs" dxfId="9550" priority="12333" operator="greaterThan">
      <formula>0.505</formula>
    </cfRule>
    <cfRule type="cellIs" dxfId="9549" priority="12334" operator="between">
      <formula>0.48</formula>
      <formula>0.5</formula>
    </cfRule>
    <cfRule type="cellIs" dxfId="9548" priority="12335" stopIfTrue="1" operator="between">
      <formula>0</formula>
      <formula>0.255</formula>
    </cfRule>
  </conditionalFormatting>
  <conditionalFormatting sqref="U356">
    <cfRule type="cellIs" dxfId="9547" priority="12326" operator="between">
      <formula>0.376</formula>
      <formula>0.475</formula>
    </cfRule>
    <cfRule type="cellIs" dxfId="9546" priority="12327" operator="between">
      <formula>0.2551</formula>
      <formula>0.3751</formula>
    </cfRule>
    <cfRule type="cellIs" dxfId="9545" priority="12328" operator="greaterThan">
      <formula>0.505</formula>
    </cfRule>
    <cfRule type="cellIs" dxfId="9544" priority="12329" operator="between">
      <formula>0.48</formula>
      <formula>0.5</formula>
    </cfRule>
    <cfRule type="cellIs" dxfId="9543" priority="12330" stopIfTrue="1" operator="between">
      <formula>0</formula>
      <formula>0.255</formula>
    </cfRule>
  </conditionalFormatting>
  <conditionalFormatting sqref="AA356">
    <cfRule type="cellIs" dxfId="9542" priority="12321" operator="between">
      <formula>0.56251</formula>
      <formula>0.7125</formula>
    </cfRule>
    <cfRule type="cellIs" dxfId="9541" priority="12322" operator="between">
      <formula>0.3751</formula>
      <formula>0.5625</formula>
    </cfRule>
    <cfRule type="cellIs" dxfId="9540" priority="12323" operator="greaterThan">
      <formula>0.751</formula>
    </cfRule>
    <cfRule type="cellIs" dxfId="9539" priority="12324" operator="between">
      <formula>0.71251</formula>
      <formula>0.75</formula>
    </cfRule>
    <cfRule type="cellIs" dxfId="9538" priority="12325" stopIfTrue="1" operator="between">
      <formula>0</formula>
      <formula>0.375</formula>
    </cfRule>
  </conditionalFormatting>
  <conditionalFormatting sqref="AB356">
    <cfRule type="cellIs" dxfId="9537" priority="12311" operator="between">
      <formula>0.56251</formula>
      <formula>0.7125</formula>
    </cfRule>
    <cfRule type="cellIs" dxfId="9536" priority="12312" operator="between">
      <formula>0.3751</formula>
      <formula>0.5625</formula>
    </cfRule>
    <cfRule type="cellIs" dxfId="9535" priority="12313" operator="greaterThan">
      <formula>0.751</formula>
    </cfRule>
    <cfRule type="cellIs" dxfId="9534" priority="12314" operator="between">
      <formula>0.71251</formula>
      <formula>0.75</formula>
    </cfRule>
    <cfRule type="cellIs" dxfId="9533" priority="12315" stopIfTrue="1" operator="between">
      <formula>0</formula>
      <formula>0.375</formula>
    </cfRule>
  </conditionalFormatting>
  <conditionalFormatting sqref="S356">
    <cfRule type="cellIs" dxfId="9532" priority="12264" operator="between">
      <formula>0.76</formula>
      <formula>0.95</formula>
    </cfRule>
    <cfRule type="cellIs" dxfId="9531" priority="12265" operator="between">
      <formula>0.51</formula>
      <formula>0.75</formula>
    </cfRule>
    <cfRule type="cellIs" dxfId="9530" priority="12266" operator="greaterThan">
      <formula>1</formula>
    </cfRule>
    <cfRule type="cellIs" dxfId="9529" priority="12267" operator="between">
      <formula>0.95</formula>
      <formula>1</formula>
    </cfRule>
    <cfRule type="cellIs" dxfId="9528" priority="12268" stopIfTrue="1" operator="between">
      <formula>0</formula>
      <formula>0.5</formula>
    </cfRule>
  </conditionalFormatting>
  <conditionalFormatting sqref="AG356">
    <cfRule type="cellIs" dxfId="9527" priority="12279" operator="between">
      <formula>0.76</formula>
      <formula>0.95</formula>
    </cfRule>
    <cfRule type="cellIs" dxfId="9526" priority="12280" operator="between">
      <formula>0.51</formula>
      <formula>0.75</formula>
    </cfRule>
    <cfRule type="cellIs" dxfId="9525" priority="12281" operator="greaterThan">
      <formula>1</formula>
    </cfRule>
    <cfRule type="cellIs" dxfId="9524" priority="12282" operator="between">
      <formula>0.95</formula>
      <formula>1</formula>
    </cfRule>
    <cfRule type="cellIs" dxfId="9523" priority="12283" stopIfTrue="1" operator="between">
      <formula>0</formula>
      <formula>0.5</formula>
    </cfRule>
  </conditionalFormatting>
  <conditionalFormatting sqref="V356">
    <cfRule type="cellIs" dxfId="9522" priority="12259" operator="between">
      <formula>0.376</formula>
      <formula>0.475</formula>
    </cfRule>
    <cfRule type="cellIs" dxfId="9521" priority="12260" operator="between">
      <formula>0.2551</formula>
      <formula>0.3751</formula>
    </cfRule>
    <cfRule type="cellIs" dxfId="9520" priority="12261" operator="greaterThan">
      <formula>0.505</formula>
    </cfRule>
    <cfRule type="cellIs" dxfId="9519" priority="12262" operator="between">
      <formula>0.48</formula>
      <formula>0.5</formula>
    </cfRule>
    <cfRule type="cellIs" dxfId="9518" priority="12263" stopIfTrue="1" operator="between">
      <formula>0</formula>
      <formula>0.255</formula>
    </cfRule>
  </conditionalFormatting>
  <conditionalFormatting sqref="Z356">
    <cfRule type="cellIs" dxfId="9517" priority="12254" operator="between">
      <formula>0.76</formula>
      <formula>0.95</formula>
    </cfRule>
    <cfRule type="cellIs" dxfId="9516" priority="12255" operator="between">
      <formula>0.51</formula>
      <formula>0.75</formula>
    </cfRule>
    <cfRule type="cellIs" dxfId="9515" priority="12256" operator="greaterThan">
      <formula>1</formula>
    </cfRule>
    <cfRule type="cellIs" dxfId="9514" priority="12257" operator="between">
      <formula>0.95</formula>
      <formula>1</formula>
    </cfRule>
    <cfRule type="cellIs" dxfId="9513" priority="12258" stopIfTrue="1" operator="between">
      <formula>0</formula>
      <formula>0.5</formula>
    </cfRule>
  </conditionalFormatting>
  <conditionalFormatting sqref="AC356">
    <cfRule type="cellIs" dxfId="9512" priority="12249" operator="between">
      <formula>0.56251</formula>
      <formula>0.7125</formula>
    </cfRule>
    <cfRule type="cellIs" dxfId="9511" priority="12250" operator="between">
      <formula>0.3751</formula>
      <formula>0.5625</formula>
    </cfRule>
    <cfRule type="cellIs" dxfId="9510" priority="12251" operator="greaterThan">
      <formula>0.751</formula>
    </cfRule>
    <cfRule type="cellIs" dxfId="9509" priority="12252" operator="between">
      <formula>0.71251</formula>
      <formula>0.75</formula>
    </cfRule>
    <cfRule type="cellIs" dxfId="9508" priority="12253" stopIfTrue="1" operator="between">
      <formula>0</formula>
      <formula>0.375</formula>
    </cfRule>
  </conditionalFormatting>
  <conditionalFormatting sqref="R185 Y185 AF185 AH185:AI185">
    <cfRule type="cellIs" dxfId="9507" priority="12244" operator="between">
      <formula>0.76</formula>
      <formula>0.95</formula>
    </cfRule>
    <cfRule type="cellIs" dxfId="9506" priority="12245" operator="between">
      <formula>0.51</formula>
      <formula>0.75</formula>
    </cfRule>
    <cfRule type="cellIs" dxfId="9505" priority="12246" operator="greaterThan">
      <formula>1</formula>
    </cfRule>
    <cfRule type="cellIs" dxfId="9504" priority="12247" operator="between">
      <formula>0.95</formula>
      <formula>1</formula>
    </cfRule>
    <cfRule type="cellIs" dxfId="9503" priority="12248" stopIfTrue="1" operator="between">
      <formula>0</formula>
      <formula>0.5</formula>
    </cfRule>
  </conditionalFormatting>
  <conditionalFormatting sqref="T185">
    <cfRule type="cellIs" dxfId="9502" priority="12239" operator="between">
      <formula>0.3751</formula>
      <formula>0.475</formula>
    </cfRule>
    <cfRule type="cellIs" dxfId="9501" priority="12240" operator="between">
      <formula>0.2551</formula>
      <formula>0.375</formula>
    </cfRule>
    <cfRule type="cellIs" dxfId="9500" priority="12241" operator="greaterThan">
      <formula>0.505</formula>
    </cfRule>
    <cfRule type="cellIs" dxfId="9499" priority="12242" operator="between">
      <formula>0.48</formula>
      <formula>0.5</formula>
    </cfRule>
    <cfRule type="cellIs" dxfId="9498" priority="12243" stopIfTrue="1" operator="between">
      <formula>0</formula>
      <formula>0.255</formula>
    </cfRule>
  </conditionalFormatting>
  <conditionalFormatting sqref="AA185:AB185">
    <cfRule type="cellIs" dxfId="9497" priority="12234" operator="between">
      <formula>0.56251</formula>
      <formula>0.7125</formula>
    </cfRule>
    <cfRule type="cellIs" dxfId="9496" priority="12235" operator="between">
      <formula>0.3751</formula>
      <formula>0.5625</formula>
    </cfRule>
    <cfRule type="cellIs" dxfId="9495" priority="12236" operator="greaterThan">
      <formula>0.751</formula>
    </cfRule>
    <cfRule type="cellIs" dxfId="9494" priority="12237" operator="between">
      <formula>0.71251</formula>
      <formula>0.75</formula>
    </cfRule>
    <cfRule type="cellIs" dxfId="9493" priority="12238" stopIfTrue="1" operator="between">
      <formula>0</formula>
      <formula>0.375</formula>
    </cfRule>
  </conditionalFormatting>
  <conditionalFormatting sqref="U185">
    <cfRule type="cellIs" dxfId="9492" priority="12224" operator="between">
      <formula>0.376</formula>
      <formula>0.475</formula>
    </cfRule>
    <cfRule type="cellIs" dxfId="9491" priority="12225" operator="between">
      <formula>0.2551</formula>
      <formula>0.3751</formula>
    </cfRule>
    <cfRule type="cellIs" dxfId="9490" priority="12226" operator="greaterThan">
      <formula>0.505</formula>
    </cfRule>
    <cfRule type="cellIs" dxfId="9489" priority="12227" operator="between">
      <formula>0.48</formula>
      <formula>0.5</formula>
    </cfRule>
    <cfRule type="cellIs" dxfId="9488" priority="12228" stopIfTrue="1" operator="between">
      <formula>0</formula>
      <formula>0.255</formula>
    </cfRule>
  </conditionalFormatting>
  <conditionalFormatting sqref="S185">
    <cfRule type="cellIs" dxfId="9487" priority="12201" operator="between">
      <formula>0.76</formula>
      <formula>0.95</formula>
    </cfRule>
    <cfRule type="cellIs" dxfId="9486" priority="12202" operator="between">
      <formula>0.51</formula>
      <formula>0.75</formula>
    </cfRule>
    <cfRule type="cellIs" dxfId="9485" priority="12203" operator="greaterThan">
      <formula>1</formula>
    </cfRule>
    <cfRule type="cellIs" dxfId="9484" priority="12204" operator="between">
      <formula>0.95</formula>
      <formula>1</formula>
    </cfRule>
    <cfRule type="cellIs" dxfId="9483" priority="12205" stopIfTrue="1" operator="between">
      <formula>0</formula>
      <formula>0.5</formula>
    </cfRule>
  </conditionalFormatting>
  <conditionalFormatting sqref="V185">
    <cfRule type="cellIs" dxfId="9482" priority="12196" operator="between">
      <formula>0.376</formula>
      <formula>0.475</formula>
    </cfRule>
    <cfRule type="cellIs" dxfId="9481" priority="12197" operator="between">
      <formula>0.2551</formula>
      <formula>0.3751</formula>
    </cfRule>
    <cfRule type="cellIs" dxfId="9480" priority="12198" operator="greaterThan">
      <formula>0.505</formula>
    </cfRule>
    <cfRule type="cellIs" dxfId="9479" priority="12199" operator="between">
      <formula>0.48</formula>
      <formula>0.5</formula>
    </cfRule>
    <cfRule type="cellIs" dxfId="9478" priority="12200" stopIfTrue="1" operator="between">
      <formula>0</formula>
      <formula>0.255</formula>
    </cfRule>
  </conditionalFormatting>
  <conditionalFormatting sqref="AC185">
    <cfRule type="cellIs" dxfId="9477" priority="12191" operator="between">
      <formula>0.56251</formula>
      <formula>0.7125</formula>
    </cfRule>
    <cfRule type="cellIs" dxfId="9476" priority="12192" operator="between">
      <formula>0.3751</formula>
      <formula>0.5625</formula>
    </cfRule>
    <cfRule type="cellIs" dxfId="9475" priority="12193" operator="greaterThan">
      <formula>0.751</formula>
    </cfRule>
    <cfRule type="cellIs" dxfId="9474" priority="12194" operator="between">
      <formula>0.71251</formula>
      <formula>0.75</formula>
    </cfRule>
    <cfRule type="cellIs" dxfId="9473" priority="12195" stopIfTrue="1" operator="between">
      <formula>0</formula>
      <formula>0.375</formula>
    </cfRule>
  </conditionalFormatting>
  <conditionalFormatting sqref="R187 Y187 AF187 AH187:AI187">
    <cfRule type="cellIs" dxfId="9472" priority="12186" operator="between">
      <formula>0.76</formula>
      <formula>0.95</formula>
    </cfRule>
    <cfRule type="cellIs" dxfId="9471" priority="12187" operator="between">
      <formula>0.51</formula>
      <formula>0.75</formula>
    </cfRule>
    <cfRule type="cellIs" dxfId="9470" priority="12188" operator="greaterThan">
      <formula>1</formula>
    </cfRule>
    <cfRule type="cellIs" dxfId="9469" priority="12189" operator="between">
      <formula>0.95</formula>
      <formula>1</formula>
    </cfRule>
    <cfRule type="cellIs" dxfId="9468" priority="12190" stopIfTrue="1" operator="between">
      <formula>0</formula>
      <formula>0.5</formula>
    </cfRule>
  </conditionalFormatting>
  <conditionalFormatting sqref="T187">
    <cfRule type="cellIs" dxfId="9467" priority="12181" operator="between">
      <formula>0.3751</formula>
      <formula>0.475</formula>
    </cfRule>
    <cfRule type="cellIs" dxfId="9466" priority="12182" operator="between">
      <formula>0.2551</formula>
      <formula>0.375</formula>
    </cfRule>
    <cfRule type="cellIs" dxfId="9465" priority="12183" operator="greaterThan">
      <formula>0.505</formula>
    </cfRule>
    <cfRule type="cellIs" dxfId="9464" priority="12184" operator="between">
      <formula>0.48</formula>
      <formula>0.5</formula>
    </cfRule>
    <cfRule type="cellIs" dxfId="9463" priority="12185" stopIfTrue="1" operator="between">
      <formula>0</formula>
      <formula>0.255</formula>
    </cfRule>
  </conditionalFormatting>
  <conditionalFormatting sqref="AA187:AB187">
    <cfRule type="cellIs" dxfId="9462" priority="12176" operator="between">
      <formula>0.56251</formula>
      <formula>0.7125</formula>
    </cfRule>
    <cfRule type="cellIs" dxfId="9461" priority="12177" operator="between">
      <formula>0.3751</formula>
      <formula>0.5625</formula>
    </cfRule>
    <cfRule type="cellIs" dxfId="9460" priority="12178" operator="greaterThan">
      <formula>0.751</formula>
    </cfRule>
    <cfRule type="cellIs" dxfId="9459" priority="12179" operator="between">
      <formula>0.71251</formula>
      <formula>0.75</formula>
    </cfRule>
    <cfRule type="cellIs" dxfId="9458" priority="12180" stopIfTrue="1" operator="between">
      <formula>0</formula>
      <formula>0.375</formula>
    </cfRule>
  </conditionalFormatting>
  <conditionalFormatting sqref="U187">
    <cfRule type="cellIs" dxfId="9457" priority="12166" operator="between">
      <formula>0.376</formula>
      <formula>0.475</formula>
    </cfRule>
    <cfRule type="cellIs" dxfId="9456" priority="12167" operator="between">
      <formula>0.2551</formula>
      <formula>0.3751</formula>
    </cfRule>
    <cfRule type="cellIs" dxfId="9455" priority="12168" operator="greaterThan">
      <formula>0.505</formula>
    </cfRule>
    <cfRule type="cellIs" dxfId="9454" priority="12169" operator="between">
      <formula>0.48</formula>
      <formula>0.5</formula>
    </cfRule>
    <cfRule type="cellIs" dxfId="9453" priority="12170" stopIfTrue="1" operator="between">
      <formula>0</formula>
      <formula>0.255</formula>
    </cfRule>
  </conditionalFormatting>
  <conditionalFormatting sqref="V187">
    <cfRule type="cellIs" dxfId="9452" priority="12138" operator="between">
      <formula>0.376</formula>
      <formula>0.475</formula>
    </cfRule>
    <cfRule type="cellIs" dxfId="9451" priority="12139" operator="between">
      <formula>0.2551</formula>
      <formula>0.3751</formula>
    </cfRule>
    <cfRule type="cellIs" dxfId="9450" priority="12140" operator="greaterThan">
      <formula>0.505</formula>
    </cfRule>
    <cfRule type="cellIs" dxfId="9449" priority="12141" operator="between">
      <formula>0.48</formula>
      <formula>0.5</formula>
    </cfRule>
    <cfRule type="cellIs" dxfId="9448" priority="12142" stopIfTrue="1" operator="between">
      <formula>0</formula>
      <formula>0.255</formula>
    </cfRule>
  </conditionalFormatting>
  <conditionalFormatting sqref="AC187">
    <cfRule type="cellIs" dxfId="9447" priority="12133" operator="between">
      <formula>0.56251</formula>
      <formula>0.7125</formula>
    </cfRule>
    <cfRule type="cellIs" dxfId="9446" priority="12134" operator="between">
      <formula>0.3751</formula>
      <formula>0.5625</formula>
    </cfRule>
    <cfRule type="cellIs" dxfId="9445" priority="12135" operator="greaterThan">
      <formula>0.751</formula>
    </cfRule>
    <cfRule type="cellIs" dxfId="9444" priority="12136" operator="between">
      <formula>0.71251</formula>
      <formula>0.75</formula>
    </cfRule>
    <cfRule type="cellIs" dxfId="9443" priority="12137" stopIfTrue="1" operator="between">
      <formula>0</formula>
      <formula>0.375</formula>
    </cfRule>
  </conditionalFormatting>
  <conditionalFormatting sqref="S187">
    <cfRule type="cellIs" dxfId="9442" priority="12108" operator="between">
      <formula>0.76</formula>
      <formula>0.95</formula>
    </cfRule>
    <cfRule type="cellIs" dxfId="9441" priority="12109" operator="between">
      <formula>0.51</formula>
      <formula>0.75</formula>
    </cfRule>
    <cfRule type="cellIs" dxfId="9440" priority="12110" operator="greaterThan">
      <formula>1</formula>
    </cfRule>
    <cfRule type="cellIs" dxfId="9439" priority="12111" operator="between">
      <formula>0.95</formula>
      <formula>1</formula>
    </cfRule>
    <cfRule type="cellIs" dxfId="9438" priority="12112" stopIfTrue="1" operator="between">
      <formula>0</formula>
      <formula>0.5</formula>
    </cfRule>
  </conditionalFormatting>
  <conditionalFormatting sqref="Z185">
    <cfRule type="cellIs" dxfId="9437" priority="12103" operator="between">
      <formula>0.76</formula>
      <formula>0.95</formula>
    </cfRule>
    <cfRule type="cellIs" dxfId="9436" priority="12104" operator="between">
      <formula>0.51</formula>
      <formula>0.75</formula>
    </cfRule>
    <cfRule type="cellIs" dxfId="9435" priority="12105" operator="greaterThan">
      <formula>1</formula>
    </cfRule>
    <cfRule type="cellIs" dxfId="9434" priority="12106" operator="between">
      <formula>0.95</formula>
      <formula>1</formula>
    </cfRule>
    <cfRule type="cellIs" dxfId="9433" priority="12107" stopIfTrue="1" operator="between">
      <formula>0</formula>
      <formula>0.5</formula>
    </cfRule>
  </conditionalFormatting>
  <conditionalFormatting sqref="Z187">
    <cfRule type="cellIs" dxfId="9432" priority="12098" operator="between">
      <formula>0.76</formula>
      <formula>0.95</formula>
    </cfRule>
    <cfRule type="cellIs" dxfId="9431" priority="12099" operator="between">
      <formula>0.51</formula>
      <formula>0.75</formula>
    </cfRule>
    <cfRule type="cellIs" dxfId="9430" priority="12100" operator="greaterThan">
      <formula>1</formula>
    </cfRule>
    <cfRule type="cellIs" dxfId="9429" priority="12101" operator="between">
      <formula>0.95</formula>
      <formula>1</formula>
    </cfRule>
    <cfRule type="cellIs" dxfId="9428" priority="12102" stopIfTrue="1" operator="between">
      <formula>0</formula>
      <formula>0.5</formula>
    </cfRule>
  </conditionalFormatting>
  <conditionalFormatting sqref="AG185">
    <cfRule type="cellIs" dxfId="9427" priority="12093" operator="between">
      <formula>0.76</formula>
      <formula>0.95</formula>
    </cfRule>
    <cfRule type="cellIs" dxfId="9426" priority="12094" operator="between">
      <formula>0.51</formula>
      <formula>0.75</formula>
    </cfRule>
    <cfRule type="cellIs" dxfId="9425" priority="12095" operator="greaterThan">
      <formula>1</formula>
    </cfRule>
    <cfRule type="cellIs" dxfId="9424" priority="12096" operator="between">
      <formula>0.95</formula>
      <formula>1</formula>
    </cfRule>
    <cfRule type="cellIs" dxfId="9423" priority="12097" stopIfTrue="1" operator="between">
      <formula>0</formula>
      <formula>0.5</formula>
    </cfRule>
  </conditionalFormatting>
  <conditionalFormatting sqref="AG187">
    <cfRule type="cellIs" dxfId="9422" priority="12088" operator="between">
      <formula>0.76</formula>
      <formula>0.95</formula>
    </cfRule>
    <cfRule type="cellIs" dxfId="9421" priority="12089" operator="between">
      <formula>0.51</formula>
      <formula>0.75</formula>
    </cfRule>
    <cfRule type="cellIs" dxfId="9420" priority="12090" operator="greaterThan">
      <formula>1</formula>
    </cfRule>
    <cfRule type="cellIs" dxfId="9419" priority="12091" operator="between">
      <formula>0.95</formula>
      <formula>1</formula>
    </cfRule>
    <cfRule type="cellIs" dxfId="9418" priority="12092" stopIfTrue="1" operator="between">
      <formula>0</formula>
      <formula>0.5</formula>
    </cfRule>
  </conditionalFormatting>
  <conditionalFormatting sqref="R188:R195 AF188:AF190 AH188:AI190 AH192:AI195 AF192:AF195 Y188:Y195">
    <cfRule type="cellIs" dxfId="9417" priority="12083" operator="between">
      <formula>0.76</formula>
      <formula>0.95</formula>
    </cfRule>
    <cfRule type="cellIs" dxfId="9416" priority="12084" operator="between">
      <formula>0.51</formula>
      <formula>0.75</formula>
    </cfRule>
    <cfRule type="cellIs" dxfId="9415" priority="12085" operator="greaterThan">
      <formula>1</formula>
    </cfRule>
    <cfRule type="cellIs" dxfId="9414" priority="12086" operator="between">
      <formula>0.95</formula>
      <formula>1</formula>
    </cfRule>
    <cfRule type="cellIs" dxfId="9413" priority="12087" stopIfTrue="1" operator="between">
      <formula>0</formula>
      <formula>0.5</formula>
    </cfRule>
  </conditionalFormatting>
  <conditionalFormatting sqref="T188:T195">
    <cfRule type="cellIs" dxfId="9412" priority="12078" operator="between">
      <formula>0.3751</formula>
      <formula>0.475</formula>
    </cfRule>
    <cfRule type="cellIs" dxfId="9411" priority="12079" operator="between">
      <formula>0.2551</formula>
      <formula>0.375</formula>
    </cfRule>
    <cfRule type="cellIs" dxfId="9410" priority="12080" operator="greaterThan">
      <formula>0.505</formula>
    </cfRule>
    <cfRule type="cellIs" dxfId="9409" priority="12081" operator="between">
      <formula>0.48</formula>
      <formula>0.5</formula>
    </cfRule>
    <cfRule type="cellIs" dxfId="9408" priority="12082" stopIfTrue="1" operator="between">
      <formula>0</formula>
      <formula>0.255</formula>
    </cfRule>
  </conditionalFormatting>
  <conditionalFormatting sqref="AA188:AB195">
    <cfRule type="cellIs" dxfId="9407" priority="12073" operator="between">
      <formula>0.56251</formula>
      <formula>0.7125</formula>
    </cfRule>
    <cfRule type="cellIs" dxfId="9406" priority="12074" operator="between">
      <formula>0.3751</formula>
      <formula>0.5625</formula>
    </cfRule>
    <cfRule type="cellIs" dxfId="9405" priority="12075" operator="greaterThan">
      <formula>0.751</formula>
    </cfRule>
    <cfRule type="cellIs" dxfId="9404" priority="12076" operator="between">
      <formula>0.71251</formula>
      <formula>0.75</formula>
    </cfRule>
    <cfRule type="cellIs" dxfId="9403" priority="12077" stopIfTrue="1" operator="between">
      <formula>0</formula>
      <formula>0.375</formula>
    </cfRule>
  </conditionalFormatting>
  <conditionalFormatting sqref="U188:U195">
    <cfRule type="cellIs" dxfId="9402" priority="12063" operator="between">
      <formula>0.376</formula>
      <formula>0.475</formula>
    </cfRule>
    <cfRule type="cellIs" dxfId="9401" priority="12064" operator="between">
      <formula>0.2551</formula>
      <formula>0.3751</formula>
    </cfRule>
    <cfRule type="cellIs" dxfId="9400" priority="12065" operator="greaterThan">
      <formula>0.505</formula>
    </cfRule>
    <cfRule type="cellIs" dxfId="9399" priority="12066" operator="between">
      <formula>0.48</formula>
      <formula>0.5</formula>
    </cfRule>
    <cfRule type="cellIs" dxfId="9398" priority="12067" stopIfTrue="1" operator="between">
      <formula>0</formula>
      <formula>0.255</formula>
    </cfRule>
  </conditionalFormatting>
  <conditionalFormatting sqref="V188:V195">
    <cfRule type="cellIs" dxfId="9397" priority="12055" operator="between">
      <formula>0.376</formula>
      <formula>0.475</formula>
    </cfRule>
    <cfRule type="cellIs" dxfId="9396" priority="12056" operator="between">
      <formula>0.2551</formula>
      <formula>0.3751</formula>
    </cfRule>
    <cfRule type="cellIs" dxfId="9395" priority="12057" operator="greaterThan">
      <formula>0.505</formula>
    </cfRule>
    <cfRule type="cellIs" dxfId="9394" priority="12058" operator="between">
      <formula>0.48</formula>
      <formula>0.5</formula>
    </cfRule>
    <cfRule type="cellIs" dxfId="9393" priority="12059" stopIfTrue="1" operator="between">
      <formula>0</formula>
      <formula>0.255</formula>
    </cfRule>
  </conditionalFormatting>
  <conditionalFormatting sqref="AC188:AC195">
    <cfRule type="cellIs" dxfId="9392" priority="12050" operator="between">
      <formula>0.56251</formula>
      <formula>0.7125</formula>
    </cfRule>
    <cfRule type="cellIs" dxfId="9391" priority="12051" operator="between">
      <formula>0.3751</formula>
      <formula>0.5625</formula>
    </cfRule>
    <cfRule type="cellIs" dxfId="9390" priority="12052" operator="greaterThan">
      <formula>0.751</formula>
    </cfRule>
    <cfRule type="cellIs" dxfId="9389" priority="12053" operator="between">
      <formula>0.71251</formula>
      <formula>0.75</formula>
    </cfRule>
    <cfRule type="cellIs" dxfId="9388" priority="12054" stopIfTrue="1" operator="between">
      <formula>0</formula>
      <formula>0.375</formula>
    </cfRule>
  </conditionalFormatting>
  <conditionalFormatting sqref="S188:S195">
    <cfRule type="cellIs" dxfId="9387" priority="12030" operator="between">
      <formula>0.76</formula>
      <formula>0.95</formula>
    </cfRule>
    <cfRule type="cellIs" dxfId="9386" priority="12031" operator="between">
      <formula>0.51</formula>
      <formula>0.75</formula>
    </cfRule>
    <cfRule type="cellIs" dxfId="9385" priority="12032" operator="greaterThan">
      <formula>1</formula>
    </cfRule>
    <cfRule type="cellIs" dxfId="9384" priority="12033" operator="between">
      <formula>0.95</formula>
      <formula>1</formula>
    </cfRule>
    <cfRule type="cellIs" dxfId="9383" priority="12034" stopIfTrue="1" operator="between">
      <formula>0</formula>
      <formula>0.5</formula>
    </cfRule>
  </conditionalFormatting>
  <conditionalFormatting sqref="Z188:Z195">
    <cfRule type="cellIs" dxfId="9382" priority="12025" operator="between">
      <formula>0.76</formula>
      <formula>0.95</formula>
    </cfRule>
    <cfRule type="cellIs" dxfId="9381" priority="12026" operator="between">
      <formula>0.51</formula>
      <formula>0.75</formula>
    </cfRule>
    <cfRule type="cellIs" dxfId="9380" priority="12027" operator="greaterThan">
      <formula>1</formula>
    </cfRule>
    <cfRule type="cellIs" dxfId="9379" priority="12028" operator="between">
      <formula>0.95</formula>
      <formula>1</formula>
    </cfRule>
    <cfRule type="cellIs" dxfId="9378" priority="12029" stopIfTrue="1" operator="between">
      <formula>0</formula>
      <formula>0.5</formula>
    </cfRule>
  </conditionalFormatting>
  <conditionalFormatting sqref="AG188:AG190 AG192:AG195">
    <cfRule type="cellIs" dxfId="9377" priority="12020" operator="between">
      <formula>0.76</formula>
      <formula>0.95</formula>
    </cfRule>
    <cfRule type="cellIs" dxfId="9376" priority="12021" operator="between">
      <formula>0.51</formula>
      <formula>0.75</formula>
    </cfRule>
    <cfRule type="cellIs" dxfId="9375" priority="12022" operator="greaterThan">
      <formula>1</formula>
    </cfRule>
    <cfRule type="cellIs" dxfId="9374" priority="12023" operator="between">
      <formula>0.95</formula>
      <formula>1</formula>
    </cfRule>
    <cfRule type="cellIs" dxfId="9373" priority="12024" stopIfTrue="1" operator="between">
      <formula>0</formula>
      <formula>0.5</formula>
    </cfRule>
  </conditionalFormatting>
  <conditionalFormatting sqref="Y281 AF281 R281 AH281:AI281">
    <cfRule type="cellIs" dxfId="9372" priority="12015" operator="between">
      <formula>0.76</formula>
      <formula>0.95</formula>
    </cfRule>
    <cfRule type="cellIs" dxfId="9371" priority="12016" operator="between">
      <formula>0.51</formula>
      <formula>0.75</formula>
    </cfRule>
    <cfRule type="cellIs" dxfId="9370" priority="12017" operator="greaterThan">
      <formula>1</formula>
    </cfRule>
    <cfRule type="cellIs" dxfId="9369" priority="12018" operator="between">
      <formula>0.95</formula>
      <formula>1</formula>
    </cfRule>
    <cfRule type="cellIs" dxfId="9368" priority="12019" stopIfTrue="1" operator="between">
      <formula>0</formula>
      <formula>0.5</formula>
    </cfRule>
  </conditionalFormatting>
  <conditionalFormatting sqref="T281">
    <cfRule type="cellIs" dxfId="9367" priority="12010" operator="between">
      <formula>0.3751</formula>
      <formula>0.475</formula>
    </cfRule>
    <cfRule type="cellIs" dxfId="9366" priority="12011" operator="between">
      <formula>0.2551</formula>
      <formula>0.375</formula>
    </cfRule>
    <cfRule type="cellIs" dxfId="9365" priority="12012" operator="greaterThan">
      <formula>0.505</formula>
    </cfRule>
    <cfRule type="cellIs" dxfId="9364" priority="12013" operator="between">
      <formula>0.48</formula>
      <formula>0.5</formula>
    </cfRule>
    <cfRule type="cellIs" dxfId="9363" priority="12014" stopIfTrue="1" operator="between">
      <formula>0</formula>
      <formula>0.255</formula>
    </cfRule>
  </conditionalFormatting>
  <conditionalFormatting sqref="AA281:AB281">
    <cfRule type="cellIs" dxfId="9362" priority="12005" operator="between">
      <formula>0.56251</formula>
      <formula>0.7125</formula>
    </cfRule>
    <cfRule type="cellIs" dxfId="9361" priority="12006" operator="between">
      <formula>0.3751</formula>
      <formula>0.5625</formula>
    </cfRule>
    <cfRule type="cellIs" dxfId="9360" priority="12007" operator="greaterThan">
      <formula>0.751</formula>
    </cfRule>
    <cfRule type="cellIs" dxfId="9359" priority="12008" operator="between">
      <formula>0.71251</formula>
      <formula>0.75</formula>
    </cfRule>
    <cfRule type="cellIs" dxfId="9358" priority="12009" stopIfTrue="1" operator="between">
      <formula>0</formula>
      <formula>0.375</formula>
    </cfRule>
  </conditionalFormatting>
  <conditionalFormatting sqref="U281">
    <cfRule type="cellIs" dxfId="9357" priority="11995" operator="between">
      <formula>0.376</formula>
      <formula>0.475</formula>
    </cfRule>
    <cfRule type="cellIs" dxfId="9356" priority="11996" operator="between">
      <formula>0.2551</formula>
      <formula>0.3751</formula>
    </cfRule>
    <cfRule type="cellIs" dxfId="9355" priority="11997" operator="greaterThan">
      <formula>0.505</formula>
    </cfRule>
    <cfRule type="cellIs" dxfId="9354" priority="11998" operator="between">
      <formula>0.48</formula>
      <formula>0.5</formula>
    </cfRule>
    <cfRule type="cellIs" dxfId="9353" priority="11999" stopIfTrue="1" operator="between">
      <formula>0</formula>
      <formula>0.255</formula>
    </cfRule>
  </conditionalFormatting>
  <conditionalFormatting sqref="S129">
    <cfRule type="cellIs" dxfId="9352" priority="11601" operator="between">
      <formula>0.76</formula>
      <formula>0.95</formula>
    </cfRule>
    <cfRule type="cellIs" dxfId="9351" priority="11602" operator="between">
      <formula>0.51</formula>
      <formula>0.75</formula>
    </cfRule>
    <cfRule type="cellIs" dxfId="9350" priority="11603" operator="greaterThan">
      <formula>1</formula>
    </cfRule>
    <cfRule type="cellIs" dxfId="9349" priority="11604" operator="between">
      <formula>0.95</formula>
      <formula>1</formula>
    </cfRule>
    <cfRule type="cellIs" dxfId="9348" priority="11605" stopIfTrue="1" operator="between">
      <formula>0</formula>
      <formula>0.5</formula>
    </cfRule>
  </conditionalFormatting>
  <conditionalFormatting sqref="AC281">
    <cfRule type="cellIs" dxfId="9347" priority="11977" operator="between">
      <formula>0.56251</formula>
      <formula>0.7125</formula>
    </cfRule>
    <cfRule type="cellIs" dxfId="9346" priority="11978" operator="between">
      <formula>0.3751</formula>
      <formula>0.5625</formula>
    </cfRule>
    <cfRule type="cellIs" dxfId="9345" priority="11979" operator="greaterThan">
      <formula>0.751</formula>
    </cfRule>
    <cfRule type="cellIs" dxfId="9344" priority="11980" operator="between">
      <formula>0.71251</formula>
      <formula>0.75</formula>
    </cfRule>
    <cfRule type="cellIs" dxfId="9343" priority="11981" stopIfTrue="1" operator="between">
      <formula>0</formula>
      <formula>0.375</formula>
    </cfRule>
  </conditionalFormatting>
  <conditionalFormatting sqref="V281">
    <cfRule type="cellIs" dxfId="9342" priority="11962" operator="between">
      <formula>0.376</formula>
      <formula>0.475</formula>
    </cfRule>
    <cfRule type="cellIs" dxfId="9341" priority="11963" operator="between">
      <formula>0.2551</formula>
      <formula>0.3751</formula>
    </cfRule>
    <cfRule type="cellIs" dxfId="9340" priority="11964" operator="greaterThan">
      <formula>0.505</formula>
    </cfRule>
    <cfRule type="cellIs" dxfId="9339" priority="11965" operator="between">
      <formula>0.48</formula>
      <formula>0.5</formula>
    </cfRule>
    <cfRule type="cellIs" dxfId="9338" priority="11966" stopIfTrue="1" operator="between">
      <formula>0</formula>
      <formula>0.255</formula>
    </cfRule>
  </conditionalFormatting>
  <conditionalFormatting sqref="S281">
    <cfRule type="cellIs" dxfId="9337" priority="11957" operator="between">
      <formula>0.76</formula>
      <formula>0.95</formula>
    </cfRule>
    <cfRule type="cellIs" dxfId="9336" priority="11958" operator="between">
      <formula>0.51</formula>
      <formula>0.75</formula>
    </cfRule>
    <cfRule type="cellIs" dxfId="9335" priority="11959" operator="greaterThan">
      <formula>1</formula>
    </cfRule>
    <cfRule type="cellIs" dxfId="9334" priority="11960" operator="between">
      <formula>0.95</formula>
      <formula>1</formula>
    </cfRule>
    <cfRule type="cellIs" dxfId="9333" priority="11961" stopIfTrue="1" operator="between">
      <formula>0</formula>
      <formula>0.5</formula>
    </cfRule>
  </conditionalFormatting>
  <conditionalFormatting sqref="Z281">
    <cfRule type="cellIs" dxfId="9332" priority="11952" operator="between">
      <formula>0.76</formula>
      <formula>0.95</formula>
    </cfRule>
    <cfRule type="cellIs" dxfId="9331" priority="11953" operator="between">
      <formula>0.51</formula>
      <formula>0.75</formula>
    </cfRule>
    <cfRule type="cellIs" dxfId="9330" priority="11954" operator="greaterThan">
      <formula>1</formula>
    </cfRule>
    <cfRule type="cellIs" dxfId="9329" priority="11955" operator="between">
      <formula>0.95</formula>
      <formula>1</formula>
    </cfRule>
    <cfRule type="cellIs" dxfId="9328" priority="11956" stopIfTrue="1" operator="between">
      <formula>0</formula>
      <formula>0.5</formula>
    </cfRule>
  </conditionalFormatting>
  <conditionalFormatting sqref="AG270:AG271">
    <cfRule type="cellIs" dxfId="9327" priority="11947" operator="between">
      <formula>0.76</formula>
      <formula>0.95</formula>
    </cfRule>
    <cfRule type="cellIs" dxfId="9326" priority="11948" operator="between">
      <formula>0.51</formula>
      <formula>0.75</formula>
    </cfRule>
    <cfRule type="cellIs" dxfId="9325" priority="11949" operator="greaterThan">
      <formula>1</formula>
    </cfRule>
    <cfRule type="cellIs" dxfId="9324" priority="11950" operator="between">
      <formula>0.95</formula>
      <formula>1</formula>
    </cfRule>
    <cfRule type="cellIs" dxfId="9323" priority="11951" stopIfTrue="1" operator="between">
      <formula>0</formula>
      <formula>0.5</formula>
    </cfRule>
  </conditionalFormatting>
  <conditionalFormatting sqref="AG273:AG275">
    <cfRule type="cellIs" dxfId="9322" priority="11942" operator="between">
      <formula>0.76</formula>
      <formula>0.95</formula>
    </cfRule>
    <cfRule type="cellIs" dxfId="9321" priority="11943" operator="between">
      <formula>0.51</formula>
      <formula>0.75</formula>
    </cfRule>
    <cfRule type="cellIs" dxfId="9320" priority="11944" operator="greaterThan">
      <formula>1</formula>
    </cfRule>
    <cfRule type="cellIs" dxfId="9319" priority="11945" operator="between">
      <formula>0.95</formula>
      <formula>1</formula>
    </cfRule>
    <cfRule type="cellIs" dxfId="9318" priority="11946" stopIfTrue="1" operator="between">
      <formula>0</formula>
      <formula>0.5</formula>
    </cfRule>
  </conditionalFormatting>
  <conditionalFormatting sqref="AG281">
    <cfRule type="cellIs" dxfId="9317" priority="11937" operator="between">
      <formula>0.76</formula>
      <formula>0.95</formula>
    </cfRule>
    <cfRule type="cellIs" dxfId="9316" priority="11938" operator="between">
      <formula>0.51</formula>
      <formula>0.75</formula>
    </cfRule>
    <cfRule type="cellIs" dxfId="9315" priority="11939" operator="greaterThan">
      <formula>1</formula>
    </cfRule>
    <cfRule type="cellIs" dxfId="9314" priority="11940" operator="between">
      <formula>0.95</formula>
      <formula>1</formula>
    </cfRule>
    <cfRule type="cellIs" dxfId="9313" priority="11941" stopIfTrue="1" operator="between">
      <formula>0</formula>
      <formula>0.5</formula>
    </cfRule>
  </conditionalFormatting>
  <conditionalFormatting sqref="Y282 AF282 R282 AH282:AI282">
    <cfRule type="cellIs" dxfId="9312" priority="11932" operator="between">
      <formula>0.76</formula>
      <formula>0.95</formula>
    </cfRule>
    <cfRule type="cellIs" dxfId="9311" priority="11933" operator="between">
      <formula>0.51</formula>
      <formula>0.75</formula>
    </cfRule>
    <cfRule type="cellIs" dxfId="9310" priority="11934" operator="greaterThan">
      <formula>1</formula>
    </cfRule>
    <cfRule type="cellIs" dxfId="9309" priority="11935" operator="between">
      <formula>0.95</formula>
      <formula>1</formula>
    </cfRule>
    <cfRule type="cellIs" dxfId="9308" priority="11936" stopIfTrue="1" operator="between">
      <formula>0</formula>
      <formula>0.5</formula>
    </cfRule>
  </conditionalFormatting>
  <conditionalFormatting sqref="T282">
    <cfRule type="cellIs" dxfId="9307" priority="11927" operator="between">
      <formula>0.3751</formula>
      <formula>0.475</formula>
    </cfRule>
    <cfRule type="cellIs" dxfId="9306" priority="11928" operator="between">
      <formula>0.2551</formula>
      <formula>0.375</formula>
    </cfRule>
    <cfRule type="cellIs" dxfId="9305" priority="11929" operator="greaterThan">
      <formula>0.505</formula>
    </cfRule>
    <cfRule type="cellIs" dxfId="9304" priority="11930" operator="between">
      <formula>0.48</formula>
      <formula>0.5</formula>
    </cfRule>
    <cfRule type="cellIs" dxfId="9303" priority="11931" stopIfTrue="1" operator="between">
      <formula>0</formula>
      <formula>0.255</formula>
    </cfRule>
  </conditionalFormatting>
  <conditionalFormatting sqref="AA282:AB282">
    <cfRule type="cellIs" dxfId="9302" priority="11922" operator="between">
      <formula>0.56251</formula>
      <formula>0.7125</formula>
    </cfRule>
    <cfRule type="cellIs" dxfId="9301" priority="11923" operator="between">
      <formula>0.3751</formula>
      <formula>0.5625</formula>
    </cfRule>
    <cfRule type="cellIs" dxfId="9300" priority="11924" operator="greaterThan">
      <formula>0.751</formula>
    </cfRule>
    <cfRule type="cellIs" dxfId="9299" priority="11925" operator="between">
      <formula>0.71251</formula>
      <formula>0.75</formula>
    </cfRule>
    <cfRule type="cellIs" dxfId="9298" priority="11926" stopIfTrue="1" operator="between">
      <formula>0</formula>
      <formula>0.375</formula>
    </cfRule>
  </conditionalFormatting>
  <conditionalFormatting sqref="U282">
    <cfRule type="cellIs" dxfId="9297" priority="11912" operator="between">
      <formula>0.376</formula>
      <formula>0.475</formula>
    </cfRule>
    <cfRule type="cellIs" dxfId="9296" priority="11913" operator="between">
      <formula>0.2551</formula>
      <formula>0.3751</formula>
    </cfRule>
    <cfRule type="cellIs" dxfId="9295" priority="11914" operator="greaterThan">
      <formula>0.505</formula>
    </cfRule>
    <cfRule type="cellIs" dxfId="9294" priority="11915" operator="between">
      <formula>0.48</formula>
      <formula>0.5</formula>
    </cfRule>
    <cfRule type="cellIs" dxfId="9293" priority="11916" stopIfTrue="1" operator="between">
      <formula>0</formula>
      <formula>0.255</formula>
    </cfRule>
  </conditionalFormatting>
  <conditionalFormatting sqref="AC282">
    <cfRule type="cellIs" dxfId="9292" priority="11904" operator="between">
      <formula>0.56251</formula>
      <formula>0.7125</formula>
    </cfRule>
    <cfRule type="cellIs" dxfId="9291" priority="11905" operator="between">
      <formula>0.3751</formula>
      <formula>0.5625</formula>
    </cfRule>
    <cfRule type="cellIs" dxfId="9290" priority="11906" operator="greaterThan">
      <formula>0.751</formula>
    </cfRule>
    <cfRule type="cellIs" dxfId="9289" priority="11907" operator="between">
      <formula>0.71251</formula>
      <formula>0.75</formula>
    </cfRule>
    <cfRule type="cellIs" dxfId="9288" priority="11908" stopIfTrue="1" operator="between">
      <formula>0</formula>
      <formula>0.375</formula>
    </cfRule>
  </conditionalFormatting>
  <conditionalFormatting sqref="V282">
    <cfRule type="cellIs" dxfId="9287" priority="11889" operator="between">
      <formula>0.376</formula>
      <formula>0.475</formula>
    </cfRule>
    <cfRule type="cellIs" dxfId="9286" priority="11890" operator="between">
      <formula>0.2551</formula>
      <formula>0.3751</formula>
    </cfRule>
    <cfRule type="cellIs" dxfId="9285" priority="11891" operator="greaterThan">
      <formula>0.505</formula>
    </cfRule>
    <cfRule type="cellIs" dxfId="9284" priority="11892" operator="between">
      <formula>0.48</formula>
      <formula>0.5</formula>
    </cfRule>
    <cfRule type="cellIs" dxfId="9283" priority="11893" stopIfTrue="1" operator="between">
      <formula>0</formula>
      <formula>0.255</formula>
    </cfRule>
  </conditionalFormatting>
  <conditionalFormatting sqref="S282">
    <cfRule type="cellIs" dxfId="9282" priority="11884" operator="between">
      <formula>0.76</formula>
      <formula>0.95</formula>
    </cfRule>
    <cfRule type="cellIs" dxfId="9281" priority="11885" operator="between">
      <formula>0.51</formula>
      <formula>0.75</formula>
    </cfRule>
    <cfRule type="cellIs" dxfId="9280" priority="11886" operator="greaterThan">
      <formula>1</formula>
    </cfRule>
    <cfRule type="cellIs" dxfId="9279" priority="11887" operator="between">
      <formula>0.95</formula>
      <formula>1</formula>
    </cfRule>
    <cfRule type="cellIs" dxfId="9278" priority="11888" stopIfTrue="1" operator="between">
      <formula>0</formula>
      <formula>0.5</formula>
    </cfRule>
  </conditionalFormatting>
  <conditionalFormatting sqref="Z282">
    <cfRule type="cellIs" dxfId="9277" priority="11879" operator="between">
      <formula>0.76</formula>
      <formula>0.95</formula>
    </cfRule>
    <cfRule type="cellIs" dxfId="9276" priority="11880" operator="between">
      <formula>0.51</formula>
      <formula>0.75</formula>
    </cfRule>
    <cfRule type="cellIs" dxfId="9275" priority="11881" operator="greaterThan">
      <formula>1</formula>
    </cfRule>
    <cfRule type="cellIs" dxfId="9274" priority="11882" operator="between">
      <formula>0.95</formula>
      <formula>1</formula>
    </cfRule>
    <cfRule type="cellIs" dxfId="9273" priority="11883" stopIfTrue="1" operator="between">
      <formula>0</formula>
      <formula>0.5</formula>
    </cfRule>
  </conditionalFormatting>
  <conditionalFormatting sqref="AG282">
    <cfRule type="cellIs" dxfId="9272" priority="11874" operator="between">
      <formula>0.76</formula>
      <formula>0.95</formula>
    </cfRule>
    <cfRule type="cellIs" dxfId="9271" priority="11875" operator="between">
      <formula>0.51</formula>
      <formula>0.75</formula>
    </cfRule>
    <cfRule type="cellIs" dxfId="9270" priority="11876" operator="greaterThan">
      <formula>1</formula>
    </cfRule>
    <cfRule type="cellIs" dxfId="9269" priority="11877" operator="between">
      <formula>0.95</formula>
      <formula>1</formula>
    </cfRule>
    <cfRule type="cellIs" dxfId="9268" priority="11878" stopIfTrue="1" operator="between">
      <formula>0</formula>
      <formula>0.5</formula>
    </cfRule>
  </conditionalFormatting>
  <conditionalFormatting sqref="Y283:Y284 AF283:AF284 R283:R284 AH283:AI284 AF287 Y287">
    <cfRule type="cellIs" dxfId="9267" priority="11859" operator="between">
      <formula>0.76</formula>
      <formula>0.95</formula>
    </cfRule>
    <cfRule type="cellIs" dxfId="9266" priority="11860" operator="between">
      <formula>0.51</formula>
      <formula>0.75</formula>
    </cfRule>
    <cfRule type="cellIs" dxfId="9265" priority="11861" operator="greaterThan">
      <formula>1</formula>
    </cfRule>
    <cfRule type="cellIs" dxfId="9264" priority="11862" operator="between">
      <formula>0.95</formula>
      <formula>1</formula>
    </cfRule>
    <cfRule type="cellIs" dxfId="9263" priority="11863" stopIfTrue="1" operator="between">
      <formula>0</formula>
      <formula>0.5</formula>
    </cfRule>
  </conditionalFormatting>
  <conditionalFormatting sqref="T283:T284">
    <cfRule type="cellIs" dxfId="9262" priority="11854" operator="between">
      <formula>0.3751</formula>
      <formula>0.475</formula>
    </cfRule>
    <cfRule type="cellIs" dxfId="9261" priority="11855" operator="between">
      <formula>0.2551</formula>
      <formula>0.375</formula>
    </cfRule>
    <cfRule type="cellIs" dxfId="9260" priority="11856" operator="greaterThan">
      <formula>0.505</formula>
    </cfRule>
    <cfRule type="cellIs" dxfId="9259" priority="11857" operator="between">
      <formula>0.48</formula>
      <formula>0.5</formula>
    </cfRule>
    <cfRule type="cellIs" dxfId="9258" priority="11858" stopIfTrue="1" operator="between">
      <formula>0</formula>
      <formula>0.255</formula>
    </cfRule>
  </conditionalFormatting>
  <conditionalFormatting sqref="AA283:AB284">
    <cfRule type="cellIs" dxfId="9257" priority="11849" operator="between">
      <formula>0.56251</formula>
      <formula>0.7125</formula>
    </cfRule>
    <cfRule type="cellIs" dxfId="9256" priority="11850" operator="between">
      <formula>0.3751</formula>
      <formula>0.5625</formula>
    </cfRule>
    <cfRule type="cellIs" dxfId="9255" priority="11851" operator="greaterThan">
      <formula>0.751</formula>
    </cfRule>
    <cfRule type="cellIs" dxfId="9254" priority="11852" operator="between">
      <formula>0.71251</formula>
      <formula>0.75</formula>
    </cfRule>
    <cfRule type="cellIs" dxfId="9253" priority="11853" stopIfTrue="1" operator="between">
      <formula>0</formula>
      <formula>0.375</formula>
    </cfRule>
  </conditionalFormatting>
  <conditionalFormatting sqref="U283:U284">
    <cfRule type="cellIs" dxfId="9252" priority="11839" operator="between">
      <formula>0.376</formula>
      <formula>0.475</formula>
    </cfRule>
    <cfRule type="cellIs" dxfId="9251" priority="11840" operator="between">
      <formula>0.2551</formula>
      <formula>0.3751</formula>
    </cfRule>
    <cfRule type="cellIs" dxfId="9250" priority="11841" operator="greaterThan">
      <formula>0.505</formula>
    </cfRule>
    <cfRule type="cellIs" dxfId="9249" priority="11842" operator="between">
      <formula>0.48</formula>
      <formula>0.5</formula>
    </cfRule>
    <cfRule type="cellIs" dxfId="9248" priority="11843" stopIfTrue="1" operator="between">
      <formula>0</formula>
      <formula>0.255</formula>
    </cfRule>
  </conditionalFormatting>
  <conditionalFormatting sqref="AC283:AC284">
    <cfRule type="cellIs" dxfId="9247" priority="11831" operator="between">
      <formula>0.56251</formula>
      <formula>0.7125</formula>
    </cfRule>
    <cfRule type="cellIs" dxfId="9246" priority="11832" operator="between">
      <formula>0.3751</formula>
      <formula>0.5625</formula>
    </cfRule>
    <cfRule type="cellIs" dxfId="9245" priority="11833" operator="greaterThan">
      <formula>0.751</formula>
    </cfRule>
    <cfRule type="cellIs" dxfId="9244" priority="11834" operator="between">
      <formula>0.71251</formula>
      <formula>0.75</formula>
    </cfRule>
    <cfRule type="cellIs" dxfId="9243" priority="11835" stopIfTrue="1" operator="between">
      <formula>0</formula>
      <formula>0.375</formula>
    </cfRule>
  </conditionalFormatting>
  <conditionalFormatting sqref="V283:V284">
    <cfRule type="cellIs" dxfId="9242" priority="11826" operator="between">
      <formula>0.376</formula>
      <formula>0.475</formula>
    </cfRule>
    <cfRule type="cellIs" dxfId="9241" priority="11827" operator="between">
      <formula>0.2551</formula>
      <formula>0.3751</formula>
    </cfRule>
    <cfRule type="cellIs" dxfId="9240" priority="11828" operator="greaterThan">
      <formula>0.505</formula>
    </cfRule>
    <cfRule type="cellIs" dxfId="9239" priority="11829" operator="between">
      <formula>0.48</formula>
      <formula>0.5</formula>
    </cfRule>
    <cfRule type="cellIs" dxfId="9238" priority="11830" stopIfTrue="1" operator="between">
      <formula>0</formula>
      <formula>0.255</formula>
    </cfRule>
  </conditionalFormatting>
  <conditionalFormatting sqref="S283:S284">
    <cfRule type="cellIs" dxfId="9237" priority="11821" operator="between">
      <formula>0.76</formula>
      <formula>0.95</formula>
    </cfRule>
    <cfRule type="cellIs" dxfId="9236" priority="11822" operator="between">
      <formula>0.51</formula>
      <formula>0.75</formula>
    </cfRule>
    <cfRule type="cellIs" dxfId="9235" priority="11823" operator="greaterThan">
      <formula>1</formula>
    </cfRule>
    <cfRule type="cellIs" dxfId="9234" priority="11824" operator="between">
      <formula>0.95</formula>
      <formula>1</formula>
    </cfRule>
    <cfRule type="cellIs" dxfId="9233" priority="11825" stopIfTrue="1" operator="between">
      <formula>0</formula>
      <formula>0.5</formula>
    </cfRule>
  </conditionalFormatting>
  <conditionalFormatting sqref="Z283:Z284 Z287">
    <cfRule type="cellIs" dxfId="9232" priority="11816" operator="between">
      <formula>0.76</formula>
      <formula>0.95</formula>
    </cfRule>
    <cfRule type="cellIs" dxfId="9231" priority="11817" operator="between">
      <formula>0.51</formula>
      <formula>0.75</formula>
    </cfRule>
    <cfRule type="cellIs" dxfId="9230" priority="11818" operator="greaterThan">
      <formula>1</formula>
    </cfRule>
    <cfRule type="cellIs" dxfId="9229" priority="11819" operator="between">
      <formula>0.95</formula>
      <formula>1</formula>
    </cfRule>
    <cfRule type="cellIs" dxfId="9228" priority="11820" stopIfTrue="1" operator="between">
      <formula>0</formula>
      <formula>0.5</formula>
    </cfRule>
  </conditionalFormatting>
  <conditionalFormatting sqref="AG283:AG284 AG287">
    <cfRule type="cellIs" dxfId="9227" priority="11811" operator="between">
      <formula>0.76</formula>
      <formula>0.95</formula>
    </cfRule>
    <cfRule type="cellIs" dxfId="9226" priority="11812" operator="between">
      <formula>0.51</formula>
      <formula>0.75</formula>
    </cfRule>
    <cfRule type="cellIs" dxfId="9225" priority="11813" operator="greaterThan">
      <formula>1</formula>
    </cfRule>
    <cfRule type="cellIs" dxfId="9224" priority="11814" operator="between">
      <formula>0.95</formula>
      <formula>1</formula>
    </cfRule>
    <cfRule type="cellIs" dxfId="9223" priority="11815" stopIfTrue="1" operator="between">
      <formula>0</formula>
      <formula>0.5</formula>
    </cfRule>
  </conditionalFormatting>
  <conditionalFormatting sqref="AF127 R127 AH127:AI127">
    <cfRule type="cellIs" dxfId="9222" priority="11796" operator="between">
      <formula>0.76</formula>
      <formula>0.95</formula>
    </cfRule>
    <cfRule type="cellIs" dxfId="9221" priority="11797" operator="between">
      <formula>0.51</formula>
      <formula>0.75</formula>
    </cfRule>
    <cfRule type="cellIs" dxfId="9220" priority="11798" operator="greaterThan">
      <formula>1</formula>
    </cfRule>
    <cfRule type="cellIs" dxfId="9219" priority="11799" operator="between">
      <formula>0.95</formula>
      <formula>1</formula>
    </cfRule>
    <cfRule type="cellIs" dxfId="9218" priority="11800" stopIfTrue="1" operator="between">
      <formula>0</formula>
      <formula>0.5</formula>
    </cfRule>
  </conditionalFormatting>
  <conditionalFormatting sqref="T127">
    <cfRule type="cellIs" dxfId="9217" priority="11791" operator="between">
      <formula>0.3751</formula>
      <formula>0.475</formula>
    </cfRule>
    <cfRule type="cellIs" dxfId="9216" priority="11792" operator="between">
      <formula>0.2551</formula>
      <formula>0.375</formula>
    </cfRule>
    <cfRule type="cellIs" dxfId="9215" priority="11793" operator="greaterThan">
      <formula>0.505</formula>
    </cfRule>
    <cfRule type="cellIs" dxfId="9214" priority="11794" operator="between">
      <formula>0.48</formula>
      <formula>0.5</formula>
    </cfRule>
    <cfRule type="cellIs" dxfId="9213" priority="11795" stopIfTrue="1" operator="between">
      <formula>0</formula>
      <formula>0.255</formula>
    </cfRule>
  </conditionalFormatting>
  <conditionalFormatting sqref="AA127:AB127">
    <cfRule type="cellIs" dxfId="9212" priority="11786" operator="between">
      <formula>0.56251</formula>
      <formula>0.7125</formula>
    </cfRule>
    <cfRule type="cellIs" dxfId="9211" priority="11787" operator="between">
      <formula>0.3751</formula>
      <formula>0.5625</formula>
    </cfRule>
    <cfRule type="cellIs" dxfId="9210" priority="11788" operator="greaterThan">
      <formula>0.751</formula>
    </cfRule>
    <cfRule type="cellIs" dxfId="9209" priority="11789" operator="between">
      <formula>0.71251</formula>
      <formula>0.75</formula>
    </cfRule>
    <cfRule type="cellIs" dxfId="9208" priority="11790" stopIfTrue="1" operator="between">
      <formula>0</formula>
      <formula>0.375</formula>
    </cfRule>
  </conditionalFormatting>
  <conditionalFormatting sqref="U127">
    <cfRule type="cellIs" dxfId="9207" priority="11776" operator="between">
      <formula>0.376</formula>
      <formula>0.475</formula>
    </cfRule>
    <cfRule type="cellIs" dxfId="9206" priority="11777" operator="between">
      <formula>0.2551</formula>
      <formula>0.3751</formula>
    </cfRule>
    <cfRule type="cellIs" dxfId="9205" priority="11778" operator="greaterThan">
      <formula>0.505</formula>
    </cfRule>
    <cfRule type="cellIs" dxfId="9204" priority="11779" operator="between">
      <formula>0.48</formula>
      <formula>0.5</formula>
    </cfRule>
    <cfRule type="cellIs" dxfId="9203" priority="11780" stopIfTrue="1" operator="between">
      <formula>0</formula>
      <formula>0.255</formula>
    </cfRule>
  </conditionalFormatting>
  <conditionalFormatting sqref="S127">
    <cfRule type="cellIs" dxfId="9202" priority="11751" operator="between">
      <formula>0.76</formula>
      <formula>0.95</formula>
    </cfRule>
    <cfRule type="cellIs" dxfId="9201" priority="11752" operator="between">
      <formula>0.51</formula>
      <formula>0.75</formula>
    </cfRule>
    <cfRule type="cellIs" dxfId="9200" priority="11753" operator="greaterThan">
      <formula>1</formula>
    </cfRule>
    <cfRule type="cellIs" dxfId="9199" priority="11754" operator="between">
      <formula>0.95</formula>
      <formula>1</formula>
    </cfRule>
    <cfRule type="cellIs" dxfId="9198" priority="11755" stopIfTrue="1" operator="between">
      <formula>0</formula>
      <formula>0.5</formula>
    </cfRule>
  </conditionalFormatting>
  <conditionalFormatting sqref="V127">
    <cfRule type="cellIs" dxfId="9197" priority="11756" operator="between">
      <formula>0.376</formula>
      <formula>0.475</formula>
    </cfRule>
    <cfRule type="cellIs" dxfId="9196" priority="11757" operator="between">
      <formula>0.2551</formula>
      <formula>0.3751</formula>
    </cfRule>
    <cfRule type="cellIs" dxfId="9195" priority="11758" operator="greaterThan">
      <formula>0.505</formula>
    </cfRule>
    <cfRule type="cellIs" dxfId="9194" priority="11759" operator="between">
      <formula>0.48</formula>
      <formula>0.5</formula>
    </cfRule>
    <cfRule type="cellIs" dxfId="9193" priority="11760" stopIfTrue="1" operator="between">
      <formula>0</formula>
      <formula>0.255</formula>
    </cfRule>
  </conditionalFormatting>
  <conditionalFormatting sqref="AC127">
    <cfRule type="cellIs" dxfId="9192" priority="11746" operator="between">
      <formula>0.56251</formula>
      <formula>0.7125</formula>
    </cfRule>
    <cfRule type="cellIs" dxfId="9191" priority="11747" operator="between">
      <formula>0.3751</formula>
      <formula>0.5625</formula>
    </cfRule>
    <cfRule type="cellIs" dxfId="9190" priority="11748" operator="greaterThan">
      <formula>0.751</formula>
    </cfRule>
    <cfRule type="cellIs" dxfId="9189" priority="11749" operator="between">
      <formula>0.71251</formula>
      <formula>0.75</formula>
    </cfRule>
    <cfRule type="cellIs" dxfId="9188" priority="11750" stopIfTrue="1" operator="between">
      <formula>0</formula>
      <formula>0.375</formula>
    </cfRule>
  </conditionalFormatting>
  <conditionalFormatting sqref="AG127">
    <cfRule type="cellIs" dxfId="9187" priority="11726" operator="between">
      <formula>0.76</formula>
      <formula>0.95</formula>
    </cfRule>
    <cfRule type="cellIs" dxfId="9186" priority="11727" operator="between">
      <formula>0.51</formula>
      <formula>0.75</formula>
    </cfRule>
    <cfRule type="cellIs" dxfId="9185" priority="11728" operator="greaterThan">
      <formula>1</formula>
    </cfRule>
    <cfRule type="cellIs" dxfId="9184" priority="11729" operator="between">
      <formula>0.95</formula>
      <formula>1</formula>
    </cfRule>
    <cfRule type="cellIs" dxfId="9183" priority="11730" stopIfTrue="1" operator="between">
      <formula>0</formula>
      <formula>0.5</formula>
    </cfRule>
  </conditionalFormatting>
  <conditionalFormatting sqref="AF128 R128 Y128 AH128">
    <cfRule type="cellIs" dxfId="9182" priority="11721" operator="between">
      <formula>0.76</formula>
      <formula>0.95</formula>
    </cfRule>
    <cfRule type="cellIs" dxfId="9181" priority="11722" operator="between">
      <formula>0.51</formula>
      <formula>0.75</formula>
    </cfRule>
    <cfRule type="cellIs" dxfId="9180" priority="11723" operator="greaterThan">
      <formula>1</formula>
    </cfRule>
    <cfRule type="cellIs" dxfId="9179" priority="11724" operator="between">
      <formula>0.95</formula>
      <formula>1</formula>
    </cfRule>
    <cfRule type="cellIs" dxfId="9178" priority="11725" stopIfTrue="1" operator="between">
      <formula>0</formula>
      <formula>0.5</formula>
    </cfRule>
  </conditionalFormatting>
  <conditionalFormatting sqref="T128">
    <cfRule type="cellIs" dxfId="9177" priority="11716" operator="between">
      <formula>0.3751</formula>
      <formula>0.475</formula>
    </cfRule>
    <cfRule type="cellIs" dxfId="9176" priority="11717" operator="between">
      <formula>0.2551</formula>
      <formula>0.375</formula>
    </cfRule>
    <cfRule type="cellIs" dxfId="9175" priority="11718" operator="greaterThan">
      <formula>0.505</formula>
    </cfRule>
    <cfRule type="cellIs" dxfId="9174" priority="11719" operator="between">
      <formula>0.48</formula>
      <formula>0.5</formula>
    </cfRule>
    <cfRule type="cellIs" dxfId="9173" priority="11720" stopIfTrue="1" operator="between">
      <formula>0</formula>
      <formula>0.255</formula>
    </cfRule>
  </conditionalFormatting>
  <conditionalFormatting sqref="AA128:AB128">
    <cfRule type="cellIs" dxfId="9172" priority="11711" operator="between">
      <formula>0.56251</formula>
      <formula>0.7125</formula>
    </cfRule>
    <cfRule type="cellIs" dxfId="9171" priority="11712" operator="between">
      <formula>0.3751</formula>
      <formula>0.5625</formula>
    </cfRule>
    <cfRule type="cellIs" dxfId="9170" priority="11713" operator="greaterThan">
      <formula>0.751</formula>
    </cfRule>
    <cfRule type="cellIs" dxfId="9169" priority="11714" operator="between">
      <formula>0.71251</formula>
      <formula>0.75</formula>
    </cfRule>
    <cfRule type="cellIs" dxfId="9168" priority="11715" stopIfTrue="1" operator="between">
      <formula>0</formula>
      <formula>0.375</formula>
    </cfRule>
  </conditionalFormatting>
  <conditionalFormatting sqref="U128">
    <cfRule type="cellIs" dxfId="9167" priority="11701" operator="between">
      <formula>0.376</formula>
      <formula>0.475</formula>
    </cfRule>
    <cfRule type="cellIs" dxfId="9166" priority="11702" operator="between">
      <formula>0.2551</formula>
      <formula>0.3751</formula>
    </cfRule>
    <cfRule type="cellIs" dxfId="9165" priority="11703" operator="greaterThan">
      <formula>0.505</formula>
    </cfRule>
    <cfRule type="cellIs" dxfId="9164" priority="11704" operator="between">
      <formula>0.48</formula>
      <formula>0.5</formula>
    </cfRule>
    <cfRule type="cellIs" dxfId="9163" priority="11705" stopIfTrue="1" operator="between">
      <formula>0</formula>
      <formula>0.255</formula>
    </cfRule>
  </conditionalFormatting>
  <conditionalFormatting sqref="S128">
    <cfRule type="cellIs" dxfId="9162" priority="11676" operator="between">
      <formula>0.76</formula>
      <formula>0.95</formula>
    </cfRule>
    <cfRule type="cellIs" dxfId="9161" priority="11677" operator="between">
      <formula>0.51</formula>
      <formula>0.75</formula>
    </cfRule>
    <cfRule type="cellIs" dxfId="9160" priority="11678" operator="greaterThan">
      <formula>1</formula>
    </cfRule>
    <cfRule type="cellIs" dxfId="9159" priority="11679" operator="between">
      <formula>0.95</formula>
      <formula>1</formula>
    </cfRule>
    <cfRule type="cellIs" dxfId="9158" priority="11680" stopIfTrue="1" operator="between">
      <formula>0</formula>
      <formula>0.5</formula>
    </cfRule>
  </conditionalFormatting>
  <conditionalFormatting sqref="V128">
    <cfRule type="cellIs" dxfId="9157" priority="11681" operator="between">
      <formula>0.376</formula>
      <formula>0.475</formula>
    </cfRule>
    <cfRule type="cellIs" dxfId="9156" priority="11682" operator="between">
      <formula>0.2551</formula>
      <formula>0.3751</formula>
    </cfRule>
    <cfRule type="cellIs" dxfId="9155" priority="11683" operator="greaterThan">
      <formula>0.505</formula>
    </cfRule>
    <cfRule type="cellIs" dxfId="9154" priority="11684" operator="between">
      <formula>0.48</formula>
      <formula>0.5</formula>
    </cfRule>
    <cfRule type="cellIs" dxfId="9153" priority="11685" stopIfTrue="1" operator="between">
      <formula>0</formula>
      <formula>0.255</formula>
    </cfRule>
  </conditionalFormatting>
  <conditionalFormatting sqref="AG128">
    <cfRule type="cellIs" dxfId="9152" priority="11651" operator="between">
      <formula>0.76</formula>
      <formula>0.95</formula>
    </cfRule>
    <cfRule type="cellIs" dxfId="9151" priority="11652" operator="between">
      <formula>0.51</formula>
      <formula>0.75</formula>
    </cfRule>
    <cfRule type="cellIs" dxfId="9150" priority="11653" operator="greaterThan">
      <formula>1</formula>
    </cfRule>
    <cfRule type="cellIs" dxfId="9149" priority="11654" operator="between">
      <formula>0.95</formula>
      <formula>1</formula>
    </cfRule>
    <cfRule type="cellIs" dxfId="9148" priority="11655" stopIfTrue="1" operator="between">
      <formula>0</formula>
      <formula>0.5</formula>
    </cfRule>
  </conditionalFormatting>
  <conditionalFormatting sqref="Z129">
    <cfRule type="cellIs" dxfId="9147" priority="11581" operator="between">
      <formula>0.76</formula>
      <formula>0.95</formula>
    </cfRule>
    <cfRule type="cellIs" dxfId="9146" priority="11582" operator="between">
      <formula>0.51</formula>
      <formula>0.75</formula>
    </cfRule>
    <cfRule type="cellIs" dxfId="9145" priority="11583" operator="greaterThan">
      <formula>1</formula>
    </cfRule>
    <cfRule type="cellIs" dxfId="9144" priority="11584" operator="between">
      <formula>0.95</formula>
      <formula>1</formula>
    </cfRule>
    <cfRule type="cellIs" dxfId="9143" priority="11585" stopIfTrue="1" operator="between">
      <formula>0</formula>
      <formula>0.5</formula>
    </cfRule>
  </conditionalFormatting>
  <conditionalFormatting sqref="AF129 R129 Y129 AH129:AI129">
    <cfRule type="cellIs" dxfId="9142" priority="11646" operator="between">
      <formula>0.76</formula>
      <formula>0.95</formula>
    </cfRule>
    <cfRule type="cellIs" dxfId="9141" priority="11647" operator="between">
      <formula>0.51</formula>
      <formula>0.75</formula>
    </cfRule>
    <cfRule type="cellIs" dxfId="9140" priority="11648" operator="greaterThan">
      <formula>1</formula>
    </cfRule>
    <cfRule type="cellIs" dxfId="9139" priority="11649" operator="between">
      <formula>0.95</formula>
      <formula>1</formula>
    </cfRule>
    <cfRule type="cellIs" dxfId="9138" priority="11650" stopIfTrue="1" operator="between">
      <formula>0</formula>
      <formula>0.5</formula>
    </cfRule>
  </conditionalFormatting>
  <conditionalFormatting sqref="T129">
    <cfRule type="cellIs" dxfId="9137" priority="11641" operator="between">
      <formula>0.3751</formula>
      <formula>0.475</formula>
    </cfRule>
    <cfRule type="cellIs" dxfId="9136" priority="11642" operator="between">
      <formula>0.2551</formula>
      <formula>0.375</formula>
    </cfRule>
    <cfRule type="cellIs" dxfId="9135" priority="11643" operator="greaterThan">
      <formula>0.505</formula>
    </cfRule>
    <cfRule type="cellIs" dxfId="9134" priority="11644" operator="between">
      <formula>0.48</formula>
      <formula>0.5</formula>
    </cfRule>
    <cfRule type="cellIs" dxfId="9133" priority="11645" stopIfTrue="1" operator="between">
      <formula>0</formula>
      <formula>0.255</formula>
    </cfRule>
  </conditionalFormatting>
  <conditionalFormatting sqref="AA129:AB129">
    <cfRule type="cellIs" dxfId="9132" priority="11636" operator="between">
      <formula>0.56251</formula>
      <formula>0.7125</formula>
    </cfRule>
    <cfRule type="cellIs" dxfId="9131" priority="11637" operator="between">
      <formula>0.3751</formula>
      <formula>0.5625</formula>
    </cfRule>
    <cfRule type="cellIs" dxfId="9130" priority="11638" operator="greaterThan">
      <formula>0.751</formula>
    </cfRule>
    <cfRule type="cellIs" dxfId="9129" priority="11639" operator="between">
      <formula>0.71251</formula>
      <formula>0.75</formula>
    </cfRule>
    <cfRule type="cellIs" dxfId="9128" priority="11640" stopIfTrue="1" operator="between">
      <formula>0</formula>
      <formula>0.375</formula>
    </cfRule>
  </conditionalFormatting>
  <conditionalFormatting sqref="U129">
    <cfRule type="cellIs" dxfId="9127" priority="11626" operator="between">
      <formula>0.376</formula>
      <formula>0.475</formula>
    </cfRule>
    <cfRule type="cellIs" dxfId="9126" priority="11627" operator="between">
      <formula>0.2551</formula>
      <formula>0.3751</formula>
    </cfRule>
    <cfRule type="cellIs" dxfId="9125" priority="11628" operator="greaterThan">
      <formula>0.505</formula>
    </cfRule>
    <cfRule type="cellIs" dxfId="9124" priority="11629" operator="between">
      <formula>0.48</formula>
      <formula>0.5</formula>
    </cfRule>
    <cfRule type="cellIs" dxfId="9123" priority="11630" stopIfTrue="1" operator="between">
      <formula>0</formula>
      <formula>0.255</formula>
    </cfRule>
  </conditionalFormatting>
  <conditionalFormatting sqref="V129">
    <cfRule type="cellIs" dxfId="9122" priority="11606" operator="between">
      <formula>0.376</formula>
      <formula>0.475</formula>
    </cfRule>
    <cfRule type="cellIs" dxfId="9121" priority="11607" operator="between">
      <formula>0.2551</formula>
      <formula>0.3751</formula>
    </cfRule>
    <cfRule type="cellIs" dxfId="9120" priority="11608" operator="greaterThan">
      <formula>0.505</formula>
    </cfRule>
    <cfRule type="cellIs" dxfId="9119" priority="11609" operator="between">
      <formula>0.48</formula>
      <formula>0.5</formula>
    </cfRule>
    <cfRule type="cellIs" dxfId="9118" priority="11610" stopIfTrue="1" operator="between">
      <formula>0</formula>
      <formula>0.255</formula>
    </cfRule>
  </conditionalFormatting>
  <conditionalFormatting sqref="AC129">
    <cfRule type="cellIs" dxfId="9117" priority="11596" operator="between">
      <formula>0.56251</formula>
      <formula>0.7125</formula>
    </cfRule>
    <cfRule type="cellIs" dxfId="9116" priority="11597" operator="between">
      <formula>0.3751</formula>
      <formula>0.5625</formula>
    </cfRule>
    <cfRule type="cellIs" dxfId="9115" priority="11598" operator="greaterThan">
      <formula>0.751</formula>
    </cfRule>
    <cfRule type="cellIs" dxfId="9114" priority="11599" operator="between">
      <formula>0.71251</formula>
      <formula>0.75</formula>
    </cfRule>
    <cfRule type="cellIs" dxfId="9113" priority="11600" stopIfTrue="1" operator="between">
      <formula>0</formula>
      <formula>0.375</formula>
    </cfRule>
  </conditionalFormatting>
  <conditionalFormatting sqref="AG129">
    <cfRule type="cellIs" dxfId="9112" priority="11576" operator="between">
      <formula>0.76</formula>
      <formula>0.95</formula>
    </cfRule>
    <cfRule type="cellIs" dxfId="9111" priority="11577" operator="between">
      <formula>0.51</formula>
      <formula>0.75</formula>
    </cfRule>
    <cfRule type="cellIs" dxfId="9110" priority="11578" operator="greaterThan">
      <formula>1</formula>
    </cfRule>
    <cfRule type="cellIs" dxfId="9109" priority="11579" operator="between">
      <formula>0.95</formula>
      <formula>1</formula>
    </cfRule>
    <cfRule type="cellIs" dxfId="9108" priority="11580" stopIfTrue="1" operator="between">
      <formula>0</formula>
      <formula>0.5</formula>
    </cfRule>
  </conditionalFormatting>
  <conditionalFormatting sqref="Z130">
    <cfRule type="cellIs" dxfId="9107" priority="11506" operator="between">
      <formula>0.76</formula>
      <formula>0.95</formula>
    </cfRule>
    <cfRule type="cellIs" dxfId="9106" priority="11507" operator="between">
      <formula>0.51</formula>
      <formula>0.75</formula>
    </cfRule>
    <cfRule type="cellIs" dxfId="9105" priority="11508" operator="greaterThan">
      <formula>1</formula>
    </cfRule>
    <cfRule type="cellIs" dxfId="9104" priority="11509" operator="between">
      <formula>0.95</formula>
      <formula>1</formula>
    </cfRule>
    <cfRule type="cellIs" dxfId="9103" priority="11510" stopIfTrue="1" operator="between">
      <formula>0</formula>
      <formula>0.5</formula>
    </cfRule>
  </conditionalFormatting>
  <conditionalFormatting sqref="AF130 R130 Y130 AH130:AI130">
    <cfRule type="cellIs" dxfId="9102" priority="11571" operator="between">
      <formula>0.76</formula>
      <formula>0.95</formula>
    </cfRule>
    <cfRule type="cellIs" dxfId="9101" priority="11572" operator="between">
      <formula>0.51</formula>
      <formula>0.75</formula>
    </cfRule>
    <cfRule type="cellIs" dxfId="9100" priority="11573" operator="greaterThan">
      <formula>1</formula>
    </cfRule>
    <cfRule type="cellIs" dxfId="9099" priority="11574" operator="between">
      <formula>0.95</formula>
      <formula>1</formula>
    </cfRule>
    <cfRule type="cellIs" dxfId="9098" priority="11575" stopIfTrue="1" operator="between">
      <formula>0</formula>
      <formula>0.5</formula>
    </cfRule>
  </conditionalFormatting>
  <conditionalFormatting sqref="T130">
    <cfRule type="cellIs" dxfId="9097" priority="11566" operator="between">
      <formula>0.3751</formula>
      <formula>0.475</formula>
    </cfRule>
    <cfRule type="cellIs" dxfId="9096" priority="11567" operator="between">
      <formula>0.2551</formula>
      <formula>0.375</formula>
    </cfRule>
    <cfRule type="cellIs" dxfId="9095" priority="11568" operator="greaterThan">
      <formula>0.505</formula>
    </cfRule>
    <cfRule type="cellIs" dxfId="9094" priority="11569" operator="between">
      <formula>0.48</formula>
      <formula>0.5</formula>
    </cfRule>
    <cfRule type="cellIs" dxfId="9093" priority="11570" stopIfTrue="1" operator="between">
      <formula>0</formula>
      <formula>0.255</formula>
    </cfRule>
  </conditionalFormatting>
  <conditionalFormatting sqref="AA130:AB130">
    <cfRule type="cellIs" dxfId="9092" priority="11561" operator="between">
      <formula>0.56251</formula>
      <formula>0.7125</formula>
    </cfRule>
    <cfRule type="cellIs" dxfId="9091" priority="11562" operator="between">
      <formula>0.3751</formula>
      <formula>0.5625</formula>
    </cfRule>
    <cfRule type="cellIs" dxfId="9090" priority="11563" operator="greaterThan">
      <formula>0.751</formula>
    </cfRule>
    <cfRule type="cellIs" dxfId="9089" priority="11564" operator="between">
      <formula>0.71251</formula>
      <formula>0.75</formula>
    </cfRule>
    <cfRule type="cellIs" dxfId="9088" priority="11565" stopIfTrue="1" operator="between">
      <formula>0</formula>
      <formula>0.375</formula>
    </cfRule>
  </conditionalFormatting>
  <conditionalFormatting sqref="U130">
    <cfRule type="cellIs" dxfId="9087" priority="11551" operator="between">
      <formula>0.376</formula>
      <formula>0.475</formula>
    </cfRule>
    <cfRule type="cellIs" dxfId="9086" priority="11552" operator="between">
      <formula>0.2551</formula>
      <formula>0.3751</formula>
    </cfRule>
    <cfRule type="cellIs" dxfId="9085" priority="11553" operator="greaterThan">
      <formula>0.505</formula>
    </cfRule>
    <cfRule type="cellIs" dxfId="9084" priority="11554" operator="between">
      <formula>0.48</formula>
      <formula>0.5</formula>
    </cfRule>
    <cfRule type="cellIs" dxfId="9083" priority="11555" stopIfTrue="1" operator="between">
      <formula>0</formula>
      <formula>0.255</formula>
    </cfRule>
  </conditionalFormatting>
  <conditionalFormatting sqref="S130">
    <cfRule type="cellIs" dxfId="9082" priority="11526" operator="between">
      <formula>0.76</formula>
      <formula>0.95</formula>
    </cfRule>
    <cfRule type="cellIs" dxfId="9081" priority="11527" operator="between">
      <formula>0.51</formula>
      <formula>0.75</formula>
    </cfRule>
    <cfRule type="cellIs" dxfId="9080" priority="11528" operator="greaterThan">
      <formula>1</formula>
    </cfRule>
    <cfRule type="cellIs" dxfId="9079" priority="11529" operator="between">
      <formula>0.95</formula>
      <formula>1</formula>
    </cfRule>
    <cfRule type="cellIs" dxfId="9078" priority="11530" stopIfTrue="1" operator="between">
      <formula>0</formula>
      <formula>0.5</formula>
    </cfRule>
  </conditionalFormatting>
  <conditionalFormatting sqref="V130">
    <cfRule type="cellIs" dxfId="9077" priority="11531" operator="between">
      <formula>0.376</formula>
      <formula>0.475</formula>
    </cfRule>
    <cfRule type="cellIs" dxfId="9076" priority="11532" operator="between">
      <formula>0.2551</formula>
      <formula>0.3751</formula>
    </cfRule>
    <cfRule type="cellIs" dxfId="9075" priority="11533" operator="greaterThan">
      <formula>0.505</formula>
    </cfRule>
    <cfRule type="cellIs" dxfId="9074" priority="11534" operator="between">
      <formula>0.48</formula>
      <formula>0.5</formula>
    </cfRule>
    <cfRule type="cellIs" dxfId="9073" priority="11535" stopIfTrue="1" operator="between">
      <formula>0</formula>
      <formula>0.255</formula>
    </cfRule>
  </conditionalFormatting>
  <conditionalFormatting sqref="AC130">
    <cfRule type="cellIs" dxfId="9072" priority="11521" operator="between">
      <formula>0.56251</formula>
      <formula>0.7125</formula>
    </cfRule>
    <cfRule type="cellIs" dxfId="9071" priority="11522" operator="between">
      <formula>0.3751</formula>
      <formula>0.5625</formula>
    </cfRule>
    <cfRule type="cellIs" dxfId="9070" priority="11523" operator="greaterThan">
      <formula>0.751</formula>
    </cfRule>
    <cfRule type="cellIs" dxfId="9069" priority="11524" operator="between">
      <formula>0.71251</formula>
      <formula>0.75</formula>
    </cfRule>
    <cfRule type="cellIs" dxfId="9068" priority="11525" stopIfTrue="1" operator="between">
      <formula>0</formula>
      <formula>0.375</formula>
    </cfRule>
  </conditionalFormatting>
  <conditionalFormatting sqref="AG130">
    <cfRule type="cellIs" dxfId="9067" priority="11501" operator="between">
      <formula>0.76</formula>
      <formula>0.95</formula>
    </cfRule>
    <cfRule type="cellIs" dxfId="9066" priority="11502" operator="between">
      <formula>0.51</formula>
      <formula>0.75</formula>
    </cfRule>
    <cfRule type="cellIs" dxfId="9065" priority="11503" operator="greaterThan">
      <formula>1</formula>
    </cfRule>
    <cfRule type="cellIs" dxfId="9064" priority="11504" operator="between">
      <formula>0.95</formula>
      <formula>1</formula>
    </cfRule>
    <cfRule type="cellIs" dxfId="9063" priority="11505" stopIfTrue="1" operator="between">
      <formula>0</formula>
      <formula>0.5</formula>
    </cfRule>
  </conditionalFormatting>
  <conditionalFormatting sqref="Z131">
    <cfRule type="cellIs" dxfId="9062" priority="11431" operator="between">
      <formula>0.76</formula>
      <formula>0.95</formula>
    </cfRule>
    <cfRule type="cellIs" dxfId="9061" priority="11432" operator="between">
      <formula>0.51</formula>
      <formula>0.75</formula>
    </cfRule>
    <cfRule type="cellIs" dxfId="9060" priority="11433" operator="greaterThan">
      <formula>1</formula>
    </cfRule>
    <cfRule type="cellIs" dxfId="9059" priority="11434" operator="between">
      <formula>0.95</formula>
      <formula>1</formula>
    </cfRule>
    <cfRule type="cellIs" dxfId="9058" priority="11435" stopIfTrue="1" operator="between">
      <formula>0</formula>
      <formula>0.5</formula>
    </cfRule>
  </conditionalFormatting>
  <conditionalFormatting sqref="AF131 R131 Y131 AH131:AI131">
    <cfRule type="cellIs" dxfId="9057" priority="11496" operator="between">
      <formula>0.76</formula>
      <formula>0.95</formula>
    </cfRule>
    <cfRule type="cellIs" dxfId="9056" priority="11497" operator="between">
      <formula>0.51</formula>
      <formula>0.75</formula>
    </cfRule>
    <cfRule type="cellIs" dxfId="9055" priority="11498" operator="greaterThan">
      <formula>1</formula>
    </cfRule>
    <cfRule type="cellIs" dxfId="9054" priority="11499" operator="between">
      <formula>0.95</formula>
      <formula>1</formula>
    </cfRule>
    <cfRule type="cellIs" dxfId="9053" priority="11500" stopIfTrue="1" operator="between">
      <formula>0</formula>
      <formula>0.5</formula>
    </cfRule>
  </conditionalFormatting>
  <conditionalFormatting sqref="T131">
    <cfRule type="cellIs" dxfId="9052" priority="11491" operator="between">
      <formula>0.3751</formula>
      <formula>0.475</formula>
    </cfRule>
    <cfRule type="cellIs" dxfId="9051" priority="11492" operator="between">
      <formula>0.2551</formula>
      <formula>0.375</formula>
    </cfRule>
    <cfRule type="cellIs" dxfId="9050" priority="11493" operator="greaterThan">
      <formula>0.505</formula>
    </cfRule>
    <cfRule type="cellIs" dxfId="9049" priority="11494" operator="between">
      <formula>0.48</formula>
      <formula>0.5</formula>
    </cfRule>
    <cfRule type="cellIs" dxfId="9048" priority="11495" stopIfTrue="1" operator="between">
      <formula>0</formula>
      <formula>0.255</formula>
    </cfRule>
  </conditionalFormatting>
  <conditionalFormatting sqref="AA131:AB131">
    <cfRule type="cellIs" dxfId="9047" priority="11486" operator="between">
      <formula>0.56251</formula>
      <formula>0.7125</formula>
    </cfRule>
    <cfRule type="cellIs" dxfId="9046" priority="11487" operator="between">
      <formula>0.3751</formula>
      <formula>0.5625</formula>
    </cfRule>
    <cfRule type="cellIs" dxfId="9045" priority="11488" operator="greaterThan">
      <formula>0.751</formula>
    </cfRule>
    <cfRule type="cellIs" dxfId="9044" priority="11489" operator="between">
      <formula>0.71251</formula>
      <formula>0.75</formula>
    </cfRule>
    <cfRule type="cellIs" dxfId="9043" priority="11490" stopIfTrue="1" operator="between">
      <formula>0</formula>
      <formula>0.375</formula>
    </cfRule>
  </conditionalFormatting>
  <conditionalFormatting sqref="U131">
    <cfRule type="cellIs" dxfId="9042" priority="11476" operator="between">
      <formula>0.376</formula>
      <formula>0.475</formula>
    </cfRule>
    <cfRule type="cellIs" dxfId="9041" priority="11477" operator="between">
      <formula>0.2551</formula>
      <formula>0.3751</formula>
    </cfRule>
    <cfRule type="cellIs" dxfId="9040" priority="11478" operator="greaterThan">
      <formula>0.505</formula>
    </cfRule>
    <cfRule type="cellIs" dxfId="9039" priority="11479" operator="between">
      <formula>0.48</formula>
      <formula>0.5</formula>
    </cfRule>
    <cfRule type="cellIs" dxfId="9038" priority="11480" stopIfTrue="1" operator="between">
      <formula>0</formula>
      <formula>0.255</formula>
    </cfRule>
  </conditionalFormatting>
  <conditionalFormatting sqref="S131">
    <cfRule type="cellIs" dxfId="9037" priority="11451" operator="between">
      <formula>0.76</formula>
      <formula>0.95</formula>
    </cfRule>
    <cfRule type="cellIs" dxfId="9036" priority="11452" operator="between">
      <formula>0.51</formula>
      <formula>0.75</formula>
    </cfRule>
    <cfRule type="cellIs" dxfId="9035" priority="11453" operator="greaterThan">
      <formula>1</formula>
    </cfRule>
    <cfRule type="cellIs" dxfId="9034" priority="11454" operator="between">
      <formula>0.95</formula>
      <formula>1</formula>
    </cfRule>
    <cfRule type="cellIs" dxfId="9033" priority="11455" stopIfTrue="1" operator="between">
      <formula>0</formula>
      <formula>0.5</formula>
    </cfRule>
  </conditionalFormatting>
  <conditionalFormatting sqref="V131">
    <cfRule type="cellIs" dxfId="9032" priority="11456" operator="between">
      <formula>0.376</formula>
      <formula>0.475</formula>
    </cfRule>
    <cfRule type="cellIs" dxfId="9031" priority="11457" operator="between">
      <formula>0.2551</formula>
      <formula>0.3751</formula>
    </cfRule>
    <cfRule type="cellIs" dxfId="9030" priority="11458" operator="greaterThan">
      <formula>0.505</formula>
    </cfRule>
    <cfRule type="cellIs" dxfId="9029" priority="11459" operator="between">
      <formula>0.48</formula>
      <formula>0.5</formula>
    </cfRule>
    <cfRule type="cellIs" dxfId="9028" priority="11460" stopIfTrue="1" operator="between">
      <formula>0</formula>
      <formula>0.255</formula>
    </cfRule>
  </conditionalFormatting>
  <conditionalFormatting sqref="AC131">
    <cfRule type="cellIs" dxfId="9027" priority="11446" operator="between">
      <formula>0.56251</formula>
      <formula>0.7125</formula>
    </cfRule>
    <cfRule type="cellIs" dxfId="9026" priority="11447" operator="between">
      <formula>0.3751</formula>
      <formula>0.5625</formula>
    </cfRule>
    <cfRule type="cellIs" dxfId="9025" priority="11448" operator="greaterThan">
      <formula>0.751</formula>
    </cfRule>
    <cfRule type="cellIs" dxfId="9024" priority="11449" operator="between">
      <formula>0.71251</formula>
      <formula>0.75</formula>
    </cfRule>
    <cfRule type="cellIs" dxfId="9023" priority="11450" stopIfTrue="1" operator="between">
      <formula>0</formula>
      <formula>0.375</formula>
    </cfRule>
  </conditionalFormatting>
  <conditionalFormatting sqref="AG131">
    <cfRule type="cellIs" dxfId="9022" priority="11426" operator="between">
      <formula>0.76</formula>
      <formula>0.95</formula>
    </cfRule>
    <cfRule type="cellIs" dxfId="9021" priority="11427" operator="between">
      <formula>0.51</formula>
      <formula>0.75</formula>
    </cfRule>
    <cfRule type="cellIs" dxfId="9020" priority="11428" operator="greaterThan">
      <formula>1</formula>
    </cfRule>
    <cfRule type="cellIs" dxfId="9019" priority="11429" operator="between">
      <formula>0.95</formula>
      <formula>1</formula>
    </cfRule>
    <cfRule type="cellIs" dxfId="9018" priority="11430" stopIfTrue="1" operator="between">
      <formula>0</formula>
      <formula>0.5</formula>
    </cfRule>
  </conditionalFormatting>
  <conditionalFormatting sqref="Z132">
    <cfRule type="cellIs" dxfId="9017" priority="11356" operator="between">
      <formula>0.76</formula>
      <formula>0.95</formula>
    </cfRule>
    <cfRule type="cellIs" dxfId="9016" priority="11357" operator="between">
      <formula>0.51</formula>
      <formula>0.75</formula>
    </cfRule>
    <cfRule type="cellIs" dxfId="9015" priority="11358" operator="greaterThan">
      <formula>1</formula>
    </cfRule>
    <cfRule type="cellIs" dxfId="9014" priority="11359" operator="between">
      <formula>0.95</formula>
      <formula>1</formula>
    </cfRule>
    <cfRule type="cellIs" dxfId="9013" priority="11360" stopIfTrue="1" operator="between">
      <formula>0</formula>
      <formula>0.5</formula>
    </cfRule>
  </conditionalFormatting>
  <conditionalFormatting sqref="AF132 K132 R132 Y132 AH132:AI132">
    <cfRule type="cellIs" dxfId="9012" priority="11421" operator="between">
      <formula>0.76</formula>
      <formula>0.95</formula>
    </cfRule>
    <cfRule type="cellIs" dxfId="9011" priority="11422" operator="between">
      <formula>0.51</formula>
      <formula>0.75</formula>
    </cfRule>
    <cfRule type="cellIs" dxfId="9010" priority="11423" operator="greaterThan">
      <formula>1</formula>
    </cfRule>
    <cfRule type="cellIs" dxfId="9009" priority="11424" operator="between">
      <formula>0.95</formula>
      <formula>1</formula>
    </cfRule>
    <cfRule type="cellIs" dxfId="9008" priority="11425" stopIfTrue="1" operator="between">
      <formula>0</formula>
      <formula>0.5</formula>
    </cfRule>
  </conditionalFormatting>
  <conditionalFormatting sqref="T132">
    <cfRule type="cellIs" dxfId="9007" priority="11416" operator="between">
      <formula>0.3751</formula>
      <formula>0.475</formula>
    </cfRule>
    <cfRule type="cellIs" dxfId="9006" priority="11417" operator="between">
      <formula>0.2551</formula>
      <formula>0.375</formula>
    </cfRule>
    <cfRule type="cellIs" dxfId="9005" priority="11418" operator="greaterThan">
      <formula>0.505</formula>
    </cfRule>
    <cfRule type="cellIs" dxfId="9004" priority="11419" operator="between">
      <formula>0.48</formula>
      <formula>0.5</formula>
    </cfRule>
    <cfRule type="cellIs" dxfId="9003" priority="11420" stopIfTrue="1" operator="between">
      <formula>0</formula>
      <formula>0.255</formula>
    </cfRule>
  </conditionalFormatting>
  <conditionalFormatting sqref="AA132:AB132">
    <cfRule type="cellIs" dxfId="9002" priority="11411" operator="between">
      <formula>0.56251</formula>
      <formula>0.7125</formula>
    </cfRule>
    <cfRule type="cellIs" dxfId="9001" priority="11412" operator="between">
      <formula>0.3751</formula>
      <formula>0.5625</formula>
    </cfRule>
    <cfRule type="cellIs" dxfId="9000" priority="11413" operator="greaterThan">
      <formula>0.751</formula>
    </cfRule>
    <cfRule type="cellIs" dxfId="8999" priority="11414" operator="between">
      <formula>0.71251</formula>
      <formula>0.75</formula>
    </cfRule>
    <cfRule type="cellIs" dxfId="8998" priority="11415" stopIfTrue="1" operator="between">
      <formula>0</formula>
      <formula>0.375</formula>
    </cfRule>
  </conditionalFormatting>
  <conditionalFormatting sqref="U132">
    <cfRule type="cellIs" dxfId="8997" priority="11401" operator="between">
      <formula>0.376</formula>
      <formula>0.475</formula>
    </cfRule>
    <cfRule type="cellIs" dxfId="8996" priority="11402" operator="between">
      <formula>0.2551</formula>
      <formula>0.3751</formula>
    </cfRule>
    <cfRule type="cellIs" dxfId="8995" priority="11403" operator="greaterThan">
      <formula>0.505</formula>
    </cfRule>
    <cfRule type="cellIs" dxfId="8994" priority="11404" operator="between">
      <formula>0.48</formula>
      <formula>0.5</formula>
    </cfRule>
    <cfRule type="cellIs" dxfId="8993" priority="11405" stopIfTrue="1" operator="between">
      <formula>0</formula>
      <formula>0.255</formula>
    </cfRule>
  </conditionalFormatting>
  <conditionalFormatting sqref="S132">
    <cfRule type="cellIs" dxfId="8992" priority="11376" operator="between">
      <formula>0.76</formula>
      <formula>0.95</formula>
    </cfRule>
    <cfRule type="cellIs" dxfId="8991" priority="11377" operator="between">
      <formula>0.51</formula>
      <formula>0.75</formula>
    </cfRule>
    <cfRule type="cellIs" dxfId="8990" priority="11378" operator="greaterThan">
      <formula>1</formula>
    </cfRule>
    <cfRule type="cellIs" dxfId="8989" priority="11379" operator="between">
      <formula>0.95</formula>
      <formula>1</formula>
    </cfRule>
    <cfRule type="cellIs" dxfId="8988" priority="11380" stopIfTrue="1" operator="between">
      <formula>0</formula>
      <formula>0.5</formula>
    </cfRule>
  </conditionalFormatting>
  <conditionalFormatting sqref="V132">
    <cfRule type="cellIs" dxfId="8987" priority="11381" operator="between">
      <formula>0.376</formula>
      <formula>0.475</formula>
    </cfRule>
    <cfRule type="cellIs" dxfId="8986" priority="11382" operator="between">
      <formula>0.2551</formula>
      <formula>0.3751</formula>
    </cfRule>
    <cfRule type="cellIs" dxfId="8985" priority="11383" operator="greaterThan">
      <formula>0.505</formula>
    </cfRule>
    <cfRule type="cellIs" dxfId="8984" priority="11384" operator="between">
      <formula>0.48</formula>
      <formula>0.5</formula>
    </cfRule>
    <cfRule type="cellIs" dxfId="8983" priority="11385" stopIfTrue="1" operator="between">
      <formula>0</formula>
      <formula>0.255</formula>
    </cfRule>
  </conditionalFormatting>
  <conditionalFormatting sqref="AC132">
    <cfRule type="cellIs" dxfId="8982" priority="11371" operator="between">
      <formula>0.56251</formula>
      <formula>0.7125</formula>
    </cfRule>
    <cfRule type="cellIs" dxfId="8981" priority="11372" operator="between">
      <formula>0.3751</formula>
      <formula>0.5625</formula>
    </cfRule>
    <cfRule type="cellIs" dxfId="8980" priority="11373" operator="greaterThan">
      <formula>0.751</formula>
    </cfRule>
    <cfRule type="cellIs" dxfId="8979" priority="11374" operator="between">
      <formula>0.71251</formula>
      <formula>0.75</formula>
    </cfRule>
    <cfRule type="cellIs" dxfId="8978" priority="11375" stopIfTrue="1" operator="between">
      <formula>0</formula>
      <formula>0.375</formula>
    </cfRule>
  </conditionalFormatting>
  <conditionalFormatting sqref="L132">
    <cfRule type="cellIs" dxfId="8977" priority="11366" operator="between">
      <formula>0.76</formula>
      <formula>0.95</formula>
    </cfRule>
    <cfRule type="cellIs" dxfId="8976" priority="11367" operator="between">
      <formula>0.51</formula>
      <formula>0.75</formula>
    </cfRule>
    <cfRule type="cellIs" dxfId="8975" priority="11368" operator="greaterThan">
      <formula>1</formula>
    </cfRule>
    <cfRule type="cellIs" dxfId="8974" priority="11369" operator="between">
      <formula>0.95</formula>
      <formula>1</formula>
    </cfRule>
    <cfRule type="cellIs" dxfId="8973" priority="11370" stopIfTrue="1" operator="between">
      <formula>0</formula>
      <formula>0.5</formula>
    </cfRule>
  </conditionalFormatting>
  <conditionalFormatting sqref="AG132">
    <cfRule type="cellIs" dxfId="8972" priority="11351" operator="between">
      <formula>0.76</formula>
      <formula>0.95</formula>
    </cfRule>
    <cfRule type="cellIs" dxfId="8971" priority="11352" operator="between">
      <formula>0.51</formula>
      <formula>0.75</formula>
    </cfRule>
    <cfRule type="cellIs" dxfId="8970" priority="11353" operator="greaterThan">
      <formula>1</formula>
    </cfRule>
    <cfRule type="cellIs" dxfId="8969" priority="11354" operator="between">
      <formula>0.95</formula>
      <formula>1</formula>
    </cfRule>
    <cfRule type="cellIs" dxfId="8968" priority="11355" stopIfTrue="1" operator="between">
      <formula>0</formula>
      <formula>0.5</formula>
    </cfRule>
  </conditionalFormatting>
  <conditionalFormatting sqref="R196 Y196 AF196">
    <cfRule type="cellIs" dxfId="8967" priority="11346" operator="between">
      <formula>0.76</formula>
      <formula>0.95</formula>
    </cfRule>
    <cfRule type="cellIs" dxfId="8966" priority="11347" operator="between">
      <formula>0.51</formula>
      <formula>0.75</formula>
    </cfRule>
    <cfRule type="cellIs" dxfId="8965" priority="11348" operator="greaterThan">
      <formula>1</formula>
    </cfRule>
    <cfRule type="cellIs" dxfId="8964" priority="11349" operator="between">
      <formula>0.95</formula>
      <formula>1</formula>
    </cfRule>
    <cfRule type="cellIs" dxfId="8963" priority="11350" stopIfTrue="1" operator="between">
      <formula>0</formula>
      <formula>0.5</formula>
    </cfRule>
  </conditionalFormatting>
  <conditionalFormatting sqref="Z297">
    <cfRule type="cellIs" dxfId="8962" priority="11001" operator="between">
      <formula>0.76</formula>
      <formula>0.95</formula>
    </cfRule>
    <cfRule type="cellIs" dxfId="8961" priority="11002" operator="between">
      <formula>0.51</formula>
      <formula>0.75</formula>
    </cfRule>
    <cfRule type="cellIs" dxfId="8960" priority="11003" operator="greaterThan">
      <formula>1</formula>
    </cfRule>
    <cfRule type="cellIs" dxfId="8959" priority="11004" operator="between">
      <formula>0.95</formula>
      <formula>1</formula>
    </cfRule>
    <cfRule type="cellIs" dxfId="8958" priority="11005" stopIfTrue="1" operator="between">
      <formula>0</formula>
      <formula>0.5</formula>
    </cfRule>
  </conditionalFormatting>
  <conditionalFormatting sqref="AG196">
    <cfRule type="cellIs" dxfId="8957" priority="11283" operator="between">
      <formula>0.76</formula>
      <formula>0.95</formula>
    </cfRule>
    <cfRule type="cellIs" dxfId="8956" priority="11284" operator="between">
      <formula>0.51</formula>
      <formula>0.75</formula>
    </cfRule>
    <cfRule type="cellIs" dxfId="8955" priority="11285" operator="greaterThan">
      <formula>1</formula>
    </cfRule>
    <cfRule type="cellIs" dxfId="8954" priority="11286" operator="between">
      <formula>0.95</formula>
      <formula>1</formula>
    </cfRule>
    <cfRule type="cellIs" dxfId="8953" priority="11287" stopIfTrue="1" operator="between">
      <formula>0</formula>
      <formula>0.5</formula>
    </cfRule>
  </conditionalFormatting>
  <conditionalFormatting sqref="Z196">
    <cfRule type="cellIs" dxfId="8952" priority="11278" operator="between">
      <formula>0.76</formula>
      <formula>0.95</formula>
    </cfRule>
    <cfRule type="cellIs" dxfId="8951" priority="11279" operator="between">
      <formula>0.51</formula>
      <formula>0.75</formula>
    </cfRule>
    <cfRule type="cellIs" dxfId="8950" priority="11280" operator="greaterThan">
      <formula>1</formula>
    </cfRule>
    <cfRule type="cellIs" dxfId="8949" priority="11281" operator="between">
      <formula>0.95</formula>
      <formula>1</formula>
    </cfRule>
    <cfRule type="cellIs" dxfId="8948" priority="11282" stopIfTrue="1" operator="between">
      <formula>0</formula>
      <formula>0.5</formula>
    </cfRule>
  </conditionalFormatting>
  <conditionalFormatting sqref="S196">
    <cfRule type="cellIs" dxfId="8947" priority="11268" operator="between">
      <formula>0.76</formula>
      <formula>0.95</formula>
    </cfRule>
    <cfRule type="cellIs" dxfId="8946" priority="11269" operator="between">
      <formula>0.51</formula>
      <formula>0.75</formula>
    </cfRule>
    <cfRule type="cellIs" dxfId="8945" priority="11270" operator="greaterThan">
      <formula>1</formula>
    </cfRule>
    <cfRule type="cellIs" dxfId="8944" priority="11271" operator="between">
      <formula>0.95</formula>
      <formula>1</formula>
    </cfRule>
    <cfRule type="cellIs" dxfId="8943" priority="11272" stopIfTrue="1" operator="between">
      <formula>0</formula>
      <formula>0.5</formula>
    </cfRule>
  </conditionalFormatting>
  <conditionalFormatting sqref="Y288 AF288 R288 AH288:AI288">
    <cfRule type="cellIs" dxfId="8942" priority="11243" operator="between">
      <formula>0.76</formula>
      <formula>0.95</formula>
    </cfRule>
    <cfRule type="cellIs" dxfId="8941" priority="11244" operator="between">
      <formula>0.51</formula>
      <formula>0.75</formula>
    </cfRule>
    <cfRule type="cellIs" dxfId="8940" priority="11245" operator="greaterThan">
      <formula>1</formula>
    </cfRule>
    <cfRule type="cellIs" dxfId="8939" priority="11246" operator="between">
      <formula>0.95</formula>
      <formula>1</formula>
    </cfRule>
    <cfRule type="cellIs" dxfId="8938" priority="11247" stopIfTrue="1" operator="between">
      <formula>0</formula>
      <formula>0.5</formula>
    </cfRule>
  </conditionalFormatting>
  <conditionalFormatting sqref="T288">
    <cfRule type="cellIs" dxfId="8937" priority="11238" operator="between">
      <formula>0.3751</formula>
      <formula>0.475</formula>
    </cfRule>
    <cfRule type="cellIs" dxfId="8936" priority="11239" operator="between">
      <formula>0.2551</formula>
      <formula>0.375</formula>
    </cfRule>
    <cfRule type="cellIs" dxfId="8935" priority="11240" operator="greaterThan">
      <formula>0.505</formula>
    </cfRule>
    <cfRule type="cellIs" dxfId="8934" priority="11241" operator="between">
      <formula>0.48</formula>
      <formula>0.5</formula>
    </cfRule>
    <cfRule type="cellIs" dxfId="8933" priority="11242" stopIfTrue="1" operator="between">
      <formula>0</formula>
      <formula>0.255</formula>
    </cfRule>
  </conditionalFormatting>
  <conditionalFormatting sqref="AA288:AB288">
    <cfRule type="cellIs" dxfId="8932" priority="11233" operator="between">
      <formula>0.56251</formula>
      <formula>0.7125</formula>
    </cfRule>
    <cfRule type="cellIs" dxfId="8931" priority="11234" operator="between">
      <formula>0.3751</formula>
      <formula>0.5625</formula>
    </cfRule>
    <cfRule type="cellIs" dxfId="8930" priority="11235" operator="greaterThan">
      <formula>0.751</formula>
    </cfRule>
    <cfRule type="cellIs" dxfId="8929" priority="11236" operator="between">
      <formula>0.71251</formula>
      <formula>0.75</formula>
    </cfRule>
    <cfRule type="cellIs" dxfId="8928" priority="11237" stopIfTrue="1" operator="between">
      <formula>0</formula>
      <formula>0.375</formula>
    </cfRule>
  </conditionalFormatting>
  <conditionalFormatting sqref="U288">
    <cfRule type="cellIs" dxfId="8927" priority="11223" operator="between">
      <formula>0.376</formula>
      <formula>0.475</formula>
    </cfRule>
    <cfRule type="cellIs" dxfId="8926" priority="11224" operator="between">
      <formula>0.2551</formula>
      <formula>0.3751</formula>
    </cfRule>
    <cfRule type="cellIs" dxfId="8925" priority="11225" operator="greaterThan">
      <formula>0.505</formula>
    </cfRule>
    <cfRule type="cellIs" dxfId="8924" priority="11226" operator="between">
      <formula>0.48</formula>
      <formula>0.5</formula>
    </cfRule>
    <cfRule type="cellIs" dxfId="8923" priority="11227" stopIfTrue="1" operator="between">
      <formula>0</formula>
      <formula>0.255</formula>
    </cfRule>
  </conditionalFormatting>
  <conditionalFormatting sqref="AC288">
    <cfRule type="cellIs" dxfId="8922" priority="11215" operator="between">
      <formula>0.56251</formula>
      <formula>0.7125</formula>
    </cfRule>
    <cfRule type="cellIs" dxfId="8921" priority="11216" operator="between">
      <formula>0.3751</formula>
      <formula>0.5625</formula>
    </cfRule>
    <cfRule type="cellIs" dxfId="8920" priority="11217" operator="greaterThan">
      <formula>0.751</formula>
    </cfRule>
    <cfRule type="cellIs" dxfId="8919" priority="11218" operator="between">
      <formula>0.71251</formula>
      <formula>0.75</formula>
    </cfRule>
    <cfRule type="cellIs" dxfId="8918" priority="11219" stopIfTrue="1" operator="between">
      <formula>0</formula>
      <formula>0.375</formula>
    </cfRule>
  </conditionalFormatting>
  <conditionalFormatting sqref="V288">
    <cfRule type="cellIs" dxfId="8917" priority="11200" operator="between">
      <formula>0.376</formula>
      <formula>0.475</formula>
    </cfRule>
    <cfRule type="cellIs" dxfId="8916" priority="11201" operator="between">
      <formula>0.2551</formula>
      <formula>0.3751</formula>
    </cfRule>
    <cfRule type="cellIs" dxfId="8915" priority="11202" operator="greaterThan">
      <formula>0.505</formula>
    </cfRule>
    <cfRule type="cellIs" dxfId="8914" priority="11203" operator="between">
      <formula>0.48</formula>
      <formula>0.5</formula>
    </cfRule>
    <cfRule type="cellIs" dxfId="8913" priority="11204" stopIfTrue="1" operator="between">
      <formula>0</formula>
      <formula>0.255</formula>
    </cfRule>
  </conditionalFormatting>
  <conditionalFormatting sqref="S288">
    <cfRule type="cellIs" dxfId="8912" priority="11195" operator="between">
      <formula>0.76</formula>
      <formula>0.95</formula>
    </cfRule>
    <cfRule type="cellIs" dxfId="8911" priority="11196" operator="between">
      <formula>0.51</formula>
      <formula>0.75</formula>
    </cfRule>
    <cfRule type="cellIs" dxfId="8910" priority="11197" operator="greaterThan">
      <formula>1</formula>
    </cfRule>
    <cfRule type="cellIs" dxfId="8909" priority="11198" operator="between">
      <formula>0.95</formula>
      <formula>1</formula>
    </cfRule>
    <cfRule type="cellIs" dxfId="8908" priority="11199" stopIfTrue="1" operator="between">
      <formula>0</formula>
      <formula>0.5</formula>
    </cfRule>
  </conditionalFormatting>
  <conditionalFormatting sqref="Z288">
    <cfRule type="cellIs" dxfId="8907" priority="11190" operator="between">
      <formula>0.76</formula>
      <formula>0.95</formula>
    </cfRule>
    <cfRule type="cellIs" dxfId="8906" priority="11191" operator="between">
      <formula>0.51</formula>
      <formula>0.75</formula>
    </cfRule>
    <cfRule type="cellIs" dxfId="8905" priority="11192" operator="greaterThan">
      <formula>1</formula>
    </cfRule>
    <cfRule type="cellIs" dxfId="8904" priority="11193" operator="between">
      <formula>0.95</formula>
      <formula>1</formula>
    </cfRule>
    <cfRule type="cellIs" dxfId="8903" priority="11194" stopIfTrue="1" operator="between">
      <formula>0</formula>
      <formula>0.5</formula>
    </cfRule>
  </conditionalFormatting>
  <conditionalFormatting sqref="AG288">
    <cfRule type="cellIs" dxfId="8902" priority="11185" operator="between">
      <formula>0.76</formula>
      <formula>0.95</formula>
    </cfRule>
    <cfRule type="cellIs" dxfId="8901" priority="11186" operator="between">
      <formula>0.51</formula>
      <formula>0.75</formula>
    </cfRule>
    <cfRule type="cellIs" dxfId="8900" priority="11187" operator="greaterThan">
      <formula>1</formula>
    </cfRule>
    <cfRule type="cellIs" dxfId="8899" priority="11188" operator="between">
      <formula>0.95</formula>
      <formula>1</formula>
    </cfRule>
    <cfRule type="cellIs" dxfId="8898" priority="11189" stopIfTrue="1" operator="between">
      <formula>0</formula>
      <formula>0.5</formula>
    </cfRule>
  </conditionalFormatting>
  <conditionalFormatting sqref="Y289 AF289 R289 AH289:AI289 AH291:AI291 R291 AF291 Y291">
    <cfRule type="cellIs" dxfId="8897" priority="11180" operator="between">
      <formula>0.76</formula>
      <formula>0.95</formula>
    </cfRule>
    <cfRule type="cellIs" dxfId="8896" priority="11181" operator="between">
      <formula>0.51</formula>
      <formula>0.75</formula>
    </cfRule>
    <cfRule type="cellIs" dxfId="8895" priority="11182" operator="greaterThan">
      <formula>1</formula>
    </cfRule>
    <cfRule type="cellIs" dxfId="8894" priority="11183" operator="between">
      <formula>0.95</formula>
      <formula>1</formula>
    </cfRule>
    <cfRule type="cellIs" dxfId="8893" priority="11184" stopIfTrue="1" operator="between">
      <formula>0</formula>
      <formula>0.5</formula>
    </cfRule>
  </conditionalFormatting>
  <conditionalFormatting sqref="T289 T291">
    <cfRule type="cellIs" dxfId="8892" priority="11175" operator="between">
      <formula>0.3751</formula>
      <formula>0.475</formula>
    </cfRule>
    <cfRule type="cellIs" dxfId="8891" priority="11176" operator="between">
      <formula>0.2551</formula>
      <formula>0.375</formula>
    </cfRule>
    <cfRule type="cellIs" dxfId="8890" priority="11177" operator="greaterThan">
      <formula>0.505</formula>
    </cfRule>
    <cfRule type="cellIs" dxfId="8889" priority="11178" operator="between">
      <formula>0.48</formula>
      <formula>0.5</formula>
    </cfRule>
    <cfRule type="cellIs" dxfId="8888" priority="11179" stopIfTrue="1" operator="between">
      <formula>0</formula>
      <formula>0.255</formula>
    </cfRule>
  </conditionalFormatting>
  <conditionalFormatting sqref="AA289:AB289 AA291:AB291">
    <cfRule type="cellIs" dxfId="8887" priority="11170" operator="between">
      <formula>0.56251</formula>
      <formula>0.7125</formula>
    </cfRule>
    <cfRule type="cellIs" dxfId="8886" priority="11171" operator="between">
      <formula>0.3751</formula>
      <formula>0.5625</formula>
    </cfRule>
    <cfRule type="cellIs" dxfId="8885" priority="11172" operator="greaterThan">
      <formula>0.751</formula>
    </cfRule>
    <cfRule type="cellIs" dxfId="8884" priority="11173" operator="between">
      <formula>0.71251</formula>
      <formula>0.75</formula>
    </cfRule>
    <cfRule type="cellIs" dxfId="8883" priority="11174" stopIfTrue="1" operator="between">
      <formula>0</formula>
      <formula>0.375</formula>
    </cfRule>
  </conditionalFormatting>
  <conditionalFormatting sqref="U289 U291">
    <cfRule type="cellIs" dxfId="8882" priority="11160" operator="between">
      <formula>0.376</formula>
      <formula>0.475</formula>
    </cfRule>
    <cfRule type="cellIs" dxfId="8881" priority="11161" operator="between">
      <formula>0.2551</formula>
      <formula>0.3751</formula>
    </cfRule>
    <cfRule type="cellIs" dxfId="8880" priority="11162" operator="greaterThan">
      <formula>0.505</formula>
    </cfRule>
    <cfRule type="cellIs" dxfId="8879" priority="11163" operator="between">
      <formula>0.48</formula>
      <formula>0.5</formula>
    </cfRule>
    <cfRule type="cellIs" dxfId="8878" priority="11164" stopIfTrue="1" operator="between">
      <formula>0</formula>
      <formula>0.255</formula>
    </cfRule>
  </conditionalFormatting>
  <conditionalFormatting sqref="AC289">
    <cfRule type="cellIs" dxfId="8877" priority="11152" operator="between">
      <formula>0.56251</formula>
      <formula>0.7125</formula>
    </cfRule>
    <cfRule type="cellIs" dxfId="8876" priority="11153" operator="between">
      <formula>0.3751</formula>
      <formula>0.5625</formula>
    </cfRule>
    <cfRule type="cellIs" dxfId="8875" priority="11154" operator="greaterThan">
      <formula>0.751</formula>
    </cfRule>
    <cfRule type="cellIs" dxfId="8874" priority="11155" operator="between">
      <formula>0.71251</formula>
      <formula>0.75</formula>
    </cfRule>
    <cfRule type="cellIs" dxfId="8873" priority="11156" stopIfTrue="1" operator="between">
      <formula>0</formula>
      <formula>0.375</formula>
    </cfRule>
  </conditionalFormatting>
  <conditionalFormatting sqref="V289">
    <cfRule type="cellIs" dxfId="8872" priority="11137" operator="between">
      <formula>0.376</formula>
      <formula>0.475</formula>
    </cfRule>
    <cfRule type="cellIs" dxfId="8871" priority="11138" operator="between">
      <formula>0.2551</formula>
      <formula>0.3751</formula>
    </cfRule>
    <cfRule type="cellIs" dxfId="8870" priority="11139" operator="greaterThan">
      <formula>0.505</formula>
    </cfRule>
    <cfRule type="cellIs" dxfId="8869" priority="11140" operator="between">
      <formula>0.48</formula>
      <formula>0.5</formula>
    </cfRule>
    <cfRule type="cellIs" dxfId="8868" priority="11141" stopIfTrue="1" operator="between">
      <formula>0</formula>
      <formula>0.255</formula>
    </cfRule>
  </conditionalFormatting>
  <conditionalFormatting sqref="S289">
    <cfRule type="cellIs" dxfId="8867" priority="11132" operator="between">
      <formula>0.76</formula>
      <formula>0.95</formula>
    </cfRule>
    <cfRule type="cellIs" dxfId="8866" priority="11133" operator="between">
      <formula>0.51</formula>
      <formula>0.75</formula>
    </cfRule>
    <cfRule type="cellIs" dxfId="8865" priority="11134" operator="greaterThan">
      <formula>1</formula>
    </cfRule>
    <cfRule type="cellIs" dxfId="8864" priority="11135" operator="between">
      <formula>0.95</formula>
      <formula>1</formula>
    </cfRule>
    <cfRule type="cellIs" dxfId="8863" priority="11136" stopIfTrue="1" operator="between">
      <formula>0</formula>
      <formula>0.5</formula>
    </cfRule>
  </conditionalFormatting>
  <conditionalFormatting sqref="Z289">
    <cfRule type="cellIs" dxfId="8862" priority="11127" operator="between">
      <formula>0.76</formula>
      <formula>0.95</formula>
    </cfRule>
    <cfRule type="cellIs" dxfId="8861" priority="11128" operator="between">
      <formula>0.51</formula>
      <formula>0.75</formula>
    </cfRule>
    <cfRule type="cellIs" dxfId="8860" priority="11129" operator="greaterThan">
      <formula>1</formula>
    </cfRule>
    <cfRule type="cellIs" dxfId="8859" priority="11130" operator="between">
      <formula>0.95</formula>
      <formula>1</formula>
    </cfRule>
    <cfRule type="cellIs" dxfId="8858" priority="11131" stopIfTrue="1" operator="between">
      <formula>0</formula>
      <formula>0.5</formula>
    </cfRule>
  </conditionalFormatting>
  <conditionalFormatting sqref="AG289 AG291">
    <cfRule type="cellIs" dxfId="8857" priority="11122" operator="between">
      <formula>0.76</formula>
      <formula>0.95</formula>
    </cfRule>
    <cfRule type="cellIs" dxfId="8856" priority="11123" operator="between">
      <formula>0.51</formula>
      <formula>0.75</formula>
    </cfRule>
    <cfRule type="cellIs" dxfId="8855" priority="11124" operator="greaterThan">
      <formula>1</formula>
    </cfRule>
    <cfRule type="cellIs" dxfId="8854" priority="11125" operator="between">
      <formula>0.95</formula>
      <formula>1</formula>
    </cfRule>
    <cfRule type="cellIs" dxfId="8853" priority="11126" stopIfTrue="1" operator="between">
      <formula>0</formula>
      <formula>0.5</formula>
    </cfRule>
  </conditionalFormatting>
  <conditionalFormatting sqref="Y297 AF297 R297 AH297:AI297">
    <cfRule type="cellIs" dxfId="8852" priority="11054" operator="between">
      <formula>0.76</formula>
      <formula>0.95</formula>
    </cfRule>
    <cfRule type="cellIs" dxfId="8851" priority="11055" operator="between">
      <formula>0.51</formula>
      <formula>0.75</formula>
    </cfRule>
    <cfRule type="cellIs" dxfId="8850" priority="11056" operator="greaterThan">
      <formula>1</formula>
    </cfRule>
    <cfRule type="cellIs" dxfId="8849" priority="11057" operator="between">
      <formula>0.95</formula>
      <formula>1</formula>
    </cfRule>
    <cfRule type="cellIs" dxfId="8848" priority="11058" stopIfTrue="1" operator="between">
      <formula>0</formula>
      <formula>0.5</formula>
    </cfRule>
  </conditionalFormatting>
  <conditionalFormatting sqref="T297">
    <cfRule type="cellIs" dxfId="8847" priority="11049" operator="between">
      <formula>0.3751</formula>
      <formula>0.475</formula>
    </cfRule>
    <cfRule type="cellIs" dxfId="8846" priority="11050" operator="between">
      <formula>0.2551</formula>
      <formula>0.375</formula>
    </cfRule>
    <cfRule type="cellIs" dxfId="8845" priority="11051" operator="greaterThan">
      <formula>0.505</formula>
    </cfRule>
    <cfRule type="cellIs" dxfId="8844" priority="11052" operator="between">
      <formula>0.48</formula>
      <formula>0.5</formula>
    </cfRule>
    <cfRule type="cellIs" dxfId="8843" priority="11053" stopIfTrue="1" operator="between">
      <formula>0</formula>
      <formula>0.255</formula>
    </cfRule>
  </conditionalFormatting>
  <conditionalFormatting sqref="AA297:AB297">
    <cfRule type="cellIs" dxfId="8842" priority="11044" operator="between">
      <formula>0.56251</formula>
      <formula>0.7125</formula>
    </cfRule>
    <cfRule type="cellIs" dxfId="8841" priority="11045" operator="between">
      <formula>0.3751</formula>
      <formula>0.5625</formula>
    </cfRule>
    <cfRule type="cellIs" dxfId="8840" priority="11046" operator="greaterThan">
      <formula>0.751</formula>
    </cfRule>
    <cfRule type="cellIs" dxfId="8839" priority="11047" operator="between">
      <formula>0.71251</formula>
      <formula>0.75</formula>
    </cfRule>
    <cfRule type="cellIs" dxfId="8838" priority="11048" stopIfTrue="1" operator="between">
      <formula>0</formula>
      <formula>0.375</formula>
    </cfRule>
  </conditionalFormatting>
  <conditionalFormatting sqref="U297">
    <cfRule type="cellIs" dxfId="8837" priority="11034" operator="between">
      <formula>0.376</formula>
      <formula>0.475</formula>
    </cfRule>
    <cfRule type="cellIs" dxfId="8836" priority="11035" operator="between">
      <formula>0.2551</formula>
      <formula>0.3751</formula>
    </cfRule>
    <cfRule type="cellIs" dxfId="8835" priority="11036" operator="greaterThan">
      <formula>0.505</formula>
    </cfRule>
    <cfRule type="cellIs" dxfId="8834" priority="11037" operator="between">
      <formula>0.48</formula>
      <formula>0.5</formula>
    </cfRule>
    <cfRule type="cellIs" dxfId="8833" priority="11038" stopIfTrue="1" operator="between">
      <formula>0</formula>
      <formula>0.255</formula>
    </cfRule>
  </conditionalFormatting>
  <conditionalFormatting sqref="AC297">
    <cfRule type="cellIs" dxfId="8832" priority="11026" operator="between">
      <formula>0.56251</formula>
      <formula>0.7125</formula>
    </cfRule>
    <cfRule type="cellIs" dxfId="8831" priority="11027" operator="between">
      <formula>0.3751</formula>
      <formula>0.5625</formula>
    </cfRule>
    <cfRule type="cellIs" dxfId="8830" priority="11028" operator="greaterThan">
      <formula>0.751</formula>
    </cfRule>
    <cfRule type="cellIs" dxfId="8829" priority="11029" operator="between">
      <formula>0.71251</formula>
      <formula>0.75</formula>
    </cfRule>
    <cfRule type="cellIs" dxfId="8828" priority="11030" stopIfTrue="1" operator="between">
      <formula>0</formula>
      <formula>0.375</formula>
    </cfRule>
  </conditionalFormatting>
  <conditionalFormatting sqref="V297">
    <cfRule type="cellIs" dxfId="8827" priority="11011" operator="between">
      <formula>0.376</formula>
      <formula>0.475</formula>
    </cfRule>
    <cfRule type="cellIs" dxfId="8826" priority="11012" operator="between">
      <formula>0.2551</formula>
      <formula>0.3751</formula>
    </cfRule>
    <cfRule type="cellIs" dxfId="8825" priority="11013" operator="greaterThan">
      <formula>0.505</formula>
    </cfRule>
    <cfRule type="cellIs" dxfId="8824" priority="11014" operator="between">
      <formula>0.48</formula>
      <formula>0.5</formula>
    </cfRule>
    <cfRule type="cellIs" dxfId="8823" priority="11015" stopIfTrue="1" operator="between">
      <formula>0</formula>
      <formula>0.255</formula>
    </cfRule>
  </conditionalFormatting>
  <conditionalFormatting sqref="S297">
    <cfRule type="cellIs" dxfId="8822" priority="11006" operator="between">
      <formula>0.76</formula>
      <formula>0.95</formula>
    </cfRule>
    <cfRule type="cellIs" dxfId="8821" priority="11007" operator="between">
      <formula>0.51</formula>
      <formula>0.75</formula>
    </cfRule>
    <cfRule type="cellIs" dxfId="8820" priority="11008" operator="greaterThan">
      <formula>1</formula>
    </cfRule>
    <cfRule type="cellIs" dxfId="8819" priority="11009" operator="between">
      <formula>0.95</formula>
      <formula>1</formula>
    </cfRule>
    <cfRule type="cellIs" dxfId="8818" priority="11010" stopIfTrue="1" operator="between">
      <formula>0</formula>
      <formula>0.5</formula>
    </cfRule>
  </conditionalFormatting>
  <conditionalFormatting sqref="AG297">
    <cfRule type="cellIs" dxfId="8817" priority="10996" operator="between">
      <formula>0.76</formula>
      <formula>0.95</formula>
    </cfRule>
    <cfRule type="cellIs" dxfId="8816" priority="10997" operator="between">
      <formula>0.51</formula>
      <formula>0.75</formula>
    </cfRule>
    <cfRule type="cellIs" dxfId="8815" priority="10998" operator="greaterThan">
      <formula>1</formula>
    </cfRule>
    <cfRule type="cellIs" dxfId="8814" priority="10999" operator="between">
      <formula>0.95</formula>
      <formula>1</formula>
    </cfRule>
    <cfRule type="cellIs" dxfId="8813" priority="11000" stopIfTrue="1" operator="between">
      <formula>0</formula>
      <formula>0.5</formula>
    </cfRule>
  </conditionalFormatting>
  <conditionalFormatting sqref="Y296 AF296 R296 AH296:AI296">
    <cfRule type="cellIs" dxfId="8812" priority="10991" operator="between">
      <formula>0.76</formula>
      <formula>0.95</formula>
    </cfRule>
    <cfRule type="cellIs" dxfId="8811" priority="10992" operator="between">
      <formula>0.51</formula>
      <formula>0.75</formula>
    </cfRule>
    <cfRule type="cellIs" dxfId="8810" priority="10993" operator="greaterThan">
      <formula>1</formula>
    </cfRule>
    <cfRule type="cellIs" dxfId="8809" priority="10994" operator="between">
      <formula>0.95</formula>
      <formula>1</formula>
    </cfRule>
    <cfRule type="cellIs" dxfId="8808" priority="10995" stopIfTrue="1" operator="between">
      <formula>0</formula>
      <formula>0.5</formula>
    </cfRule>
  </conditionalFormatting>
  <conditionalFormatting sqref="T296">
    <cfRule type="cellIs" dxfId="8807" priority="10986" operator="between">
      <formula>0.3751</formula>
      <formula>0.475</formula>
    </cfRule>
    <cfRule type="cellIs" dxfId="8806" priority="10987" operator="between">
      <formula>0.2551</formula>
      <formula>0.375</formula>
    </cfRule>
    <cfRule type="cellIs" dxfId="8805" priority="10988" operator="greaterThan">
      <formula>0.505</formula>
    </cfRule>
    <cfRule type="cellIs" dxfId="8804" priority="10989" operator="between">
      <formula>0.48</formula>
      <formula>0.5</formula>
    </cfRule>
    <cfRule type="cellIs" dxfId="8803" priority="10990" stopIfTrue="1" operator="between">
      <formula>0</formula>
      <formula>0.255</formula>
    </cfRule>
  </conditionalFormatting>
  <conditionalFormatting sqref="AA296:AB296">
    <cfRule type="cellIs" dxfId="8802" priority="10981" operator="between">
      <formula>0.56251</formula>
      <formula>0.7125</formula>
    </cfRule>
    <cfRule type="cellIs" dxfId="8801" priority="10982" operator="between">
      <formula>0.3751</formula>
      <formula>0.5625</formula>
    </cfRule>
    <cfRule type="cellIs" dxfId="8800" priority="10983" operator="greaterThan">
      <formula>0.751</formula>
    </cfRule>
    <cfRule type="cellIs" dxfId="8799" priority="10984" operator="between">
      <formula>0.71251</formula>
      <formula>0.75</formula>
    </cfRule>
    <cfRule type="cellIs" dxfId="8798" priority="10985" stopIfTrue="1" operator="between">
      <formula>0</formula>
      <formula>0.375</formula>
    </cfRule>
  </conditionalFormatting>
  <conditionalFormatting sqref="U296">
    <cfRule type="cellIs" dxfId="8797" priority="10971" operator="between">
      <formula>0.376</formula>
      <formula>0.475</formula>
    </cfRule>
    <cfRule type="cellIs" dxfId="8796" priority="10972" operator="between">
      <formula>0.2551</formula>
      <formula>0.3751</formula>
    </cfRule>
    <cfRule type="cellIs" dxfId="8795" priority="10973" operator="greaterThan">
      <formula>0.505</formula>
    </cfRule>
    <cfRule type="cellIs" dxfId="8794" priority="10974" operator="between">
      <formula>0.48</formula>
      <formula>0.5</formula>
    </cfRule>
    <cfRule type="cellIs" dxfId="8793" priority="10975" stopIfTrue="1" operator="between">
      <formula>0</formula>
      <formula>0.255</formula>
    </cfRule>
  </conditionalFormatting>
  <conditionalFormatting sqref="V296">
    <cfRule type="cellIs" dxfId="8792" priority="10948" operator="between">
      <formula>0.376</formula>
      <formula>0.475</formula>
    </cfRule>
    <cfRule type="cellIs" dxfId="8791" priority="10949" operator="between">
      <formula>0.2551</formula>
      <formula>0.3751</formula>
    </cfRule>
    <cfRule type="cellIs" dxfId="8790" priority="10950" operator="greaterThan">
      <formula>0.505</formula>
    </cfRule>
    <cfRule type="cellIs" dxfId="8789" priority="10951" operator="between">
      <formula>0.48</formula>
      <formula>0.5</formula>
    </cfRule>
    <cfRule type="cellIs" dxfId="8788" priority="10952" stopIfTrue="1" operator="between">
      <formula>0</formula>
      <formula>0.255</formula>
    </cfRule>
  </conditionalFormatting>
  <conditionalFormatting sqref="S296">
    <cfRule type="cellIs" dxfId="8787" priority="10943" operator="between">
      <formula>0.76</formula>
      <formula>0.95</formula>
    </cfRule>
    <cfRule type="cellIs" dxfId="8786" priority="10944" operator="between">
      <formula>0.51</formula>
      <formula>0.75</formula>
    </cfRule>
    <cfRule type="cellIs" dxfId="8785" priority="10945" operator="greaterThan">
      <formula>1</formula>
    </cfRule>
    <cfRule type="cellIs" dxfId="8784" priority="10946" operator="between">
      <formula>0.95</formula>
      <formula>1</formula>
    </cfRule>
    <cfRule type="cellIs" dxfId="8783" priority="10947" stopIfTrue="1" operator="between">
      <formula>0</formula>
      <formula>0.5</formula>
    </cfRule>
  </conditionalFormatting>
  <conditionalFormatting sqref="AG296">
    <cfRule type="cellIs" dxfId="8782" priority="10933" operator="between">
      <formula>0.76</formula>
      <formula>0.95</formula>
    </cfRule>
    <cfRule type="cellIs" dxfId="8781" priority="10934" operator="between">
      <formula>0.51</formula>
      <formula>0.75</formula>
    </cfRule>
    <cfRule type="cellIs" dxfId="8780" priority="10935" operator="greaterThan">
      <formula>1</formula>
    </cfRule>
    <cfRule type="cellIs" dxfId="8779" priority="10936" operator="between">
      <formula>0.95</formula>
      <formula>1</formula>
    </cfRule>
    <cfRule type="cellIs" dxfId="8778" priority="10937" stopIfTrue="1" operator="between">
      <formula>0</formula>
      <formula>0.5</formula>
    </cfRule>
  </conditionalFormatting>
  <conditionalFormatting sqref="S291">
    <cfRule type="cellIs" dxfId="8777" priority="10918" operator="between">
      <formula>0.76</formula>
      <formula>0.95</formula>
    </cfRule>
    <cfRule type="cellIs" dxfId="8776" priority="10919" operator="between">
      <formula>0.51</formula>
      <formula>0.75</formula>
    </cfRule>
    <cfRule type="cellIs" dxfId="8775" priority="10920" operator="greaterThan">
      <formula>1</formula>
    </cfRule>
    <cfRule type="cellIs" dxfId="8774" priority="10921" operator="between">
      <formula>0.95</formula>
      <formula>1</formula>
    </cfRule>
    <cfRule type="cellIs" dxfId="8773" priority="10922" stopIfTrue="1" operator="between">
      <formula>0</formula>
      <formula>0.5</formula>
    </cfRule>
  </conditionalFormatting>
  <conditionalFormatting sqref="V291">
    <cfRule type="cellIs" dxfId="8772" priority="10913" operator="between">
      <formula>0.376</formula>
      <formula>0.475</formula>
    </cfRule>
    <cfRule type="cellIs" dxfId="8771" priority="10914" operator="between">
      <formula>0.2551</formula>
      <formula>0.3751</formula>
    </cfRule>
    <cfRule type="cellIs" dxfId="8770" priority="10915" operator="greaterThan">
      <formula>0.505</formula>
    </cfRule>
    <cfRule type="cellIs" dxfId="8769" priority="10916" operator="between">
      <formula>0.48</formula>
      <formula>0.5</formula>
    </cfRule>
    <cfRule type="cellIs" dxfId="8768" priority="10917" stopIfTrue="1" operator="between">
      <formula>0</formula>
      <formula>0.255</formula>
    </cfRule>
  </conditionalFormatting>
  <conditionalFormatting sqref="Z291">
    <cfRule type="cellIs" dxfId="8767" priority="10908" operator="between">
      <formula>0.76</formula>
      <formula>0.95</formula>
    </cfRule>
    <cfRule type="cellIs" dxfId="8766" priority="10909" operator="between">
      <formula>0.51</formula>
      <formula>0.75</formula>
    </cfRule>
    <cfRule type="cellIs" dxfId="8765" priority="10910" operator="greaterThan">
      <formula>1</formula>
    </cfRule>
    <cfRule type="cellIs" dxfId="8764" priority="10911" operator="between">
      <formula>0.95</formula>
      <formula>1</formula>
    </cfRule>
    <cfRule type="cellIs" dxfId="8763" priority="10912" stopIfTrue="1" operator="between">
      <formula>0</formula>
      <formula>0.5</formula>
    </cfRule>
  </conditionalFormatting>
  <conditionalFormatting sqref="AC291">
    <cfRule type="cellIs" dxfId="8762" priority="10903" operator="between">
      <formula>0.56251</formula>
      <formula>0.7125</formula>
    </cfRule>
    <cfRule type="cellIs" dxfId="8761" priority="10904" operator="between">
      <formula>0.3751</formula>
      <formula>0.5625</formula>
    </cfRule>
    <cfRule type="cellIs" dxfId="8760" priority="10905" operator="greaterThan">
      <formula>0.751</formula>
    </cfRule>
    <cfRule type="cellIs" dxfId="8759" priority="10906" operator="between">
      <formula>0.71251</formula>
      <formula>0.75</formula>
    </cfRule>
    <cfRule type="cellIs" dxfId="8758" priority="10907" stopIfTrue="1" operator="between">
      <formula>0</formula>
      <formula>0.375</formula>
    </cfRule>
  </conditionalFormatting>
  <conditionalFormatting sqref="Z296">
    <cfRule type="cellIs" dxfId="8757" priority="10898" operator="between">
      <formula>0.76</formula>
      <formula>0.95</formula>
    </cfRule>
    <cfRule type="cellIs" dxfId="8756" priority="10899" operator="between">
      <formula>0.51</formula>
      <formula>0.75</formula>
    </cfRule>
    <cfRule type="cellIs" dxfId="8755" priority="10900" operator="greaterThan">
      <formula>1</formula>
    </cfRule>
    <cfRule type="cellIs" dxfId="8754" priority="10901" operator="between">
      <formula>0.95</formula>
      <formula>1</formula>
    </cfRule>
    <cfRule type="cellIs" dxfId="8753" priority="10902" stopIfTrue="1" operator="between">
      <formula>0</formula>
      <formula>0.5</formula>
    </cfRule>
  </conditionalFormatting>
  <conditionalFormatting sqref="AC296">
    <cfRule type="cellIs" dxfId="8752" priority="10893" operator="between">
      <formula>0.56251</formula>
      <formula>0.7125</formula>
    </cfRule>
    <cfRule type="cellIs" dxfId="8751" priority="10894" operator="between">
      <formula>0.3751</formula>
      <formula>0.5625</formula>
    </cfRule>
    <cfRule type="cellIs" dxfId="8750" priority="10895" operator="greaterThan">
      <formula>0.751</formula>
    </cfRule>
    <cfRule type="cellIs" dxfId="8749" priority="10896" operator="between">
      <formula>0.71251</formula>
      <formula>0.75</formula>
    </cfRule>
    <cfRule type="cellIs" dxfId="8748" priority="10897" stopIfTrue="1" operator="between">
      <formula>0</formula>
      <formula>0.375</formula>
    </cfRule>
  </conditionalFormatting>
  <conditionalFormatting sqref="S292">
    <cfRule type="cellIs" dxfId="8747" priority="10568" operator="between">
      <formula>0.76</formula>
      <formula>0.95</formula>
    </cfRule>
    <cfRule type="cellIs" dxfId="8746" priority="10569" operator="between">
      <formula>0.51</formula>
      <formula>0.75</formula>
    </cfRule>
    <cfRule type="cellIs" dxfId="8745" priority="10570" operator="greaterThan">
      <formula>1</formula>
    </cfRule>
    <cfRule type="cellIs" dxfId="8744" priority="10571" operator="between">
      <formula>0.95</formula>
      <formula>1</formula>
    </cfRule>
    <cfRule type="cellIs" dxfId="8743" priority="10572" stopIfTrue="1" operator="between">
      <formula>0</formula>
      <formula>0.5</formula>
    </cfRule>
  </conditionalFormatting>
  <conditionalFormatting sqref="Y298 AF298 R298 AH298:AI298">
    <cfRule type="cellIs" dxfId="8742" priority="10888" operator="between">
      <formula>0.76</formula>
      <formula>0.95</formula>
    </cfRule>
    <cfRule type="cellIs" dxfId="8741" priority="10889" operator="between">
      <formula>0.51</formula>
      <formula>0.75</formula>
    </cfRule>
    <cfRule type="cellIs" dxfId="8740" priority="10890" operator="greaterThan">
      <formula>1</formula>
    </cfRule>
    <cfRule type="cellIs" dxfId="8739" priority="10891" operator="between">
      <formula>0.95</formula>
      <formula>1</formula>
    </cfRule>
    <cfRule type="cellIs" dxfId="8738" priority="10892" stopIfTrue="1" operator="between">
      <formula>0</formula>
      <formula>0.5</formula>
    </cfRule>
  </conditionalFormatting>
  <conditionalFormatting sqref="T298">
    <cfRule type="cellIs" dxfId="8737" priority="10883" operator="between">
      <formula>0.3751</formula>
      <formula>0.475</formula>
    </cfRule>
    <cfRule type="cellIs" dxfId="8736" priority="10884" operator="between">
      <formula>0.2551</formula>
      <formula>0.375</formula>
    </cfRule>
    <cfRule type="cellIs" dxfId="8735" priority="10885" operator="greaterThan">
      <formula>0.505</formula>
    </cfRule>
    <cfRule type="cellIs" dxfId="8734" priority="10886" operator="between">
      <formula>0.48</formula>
      <formula>0.5</formula>
    </cfRule>
    <cfRule type="cellIs" dxfId="8733" priority="10887" stopIfTrue="1" operator="between">
      <formula>0</formula>
      <formula>0.255</formula>
    </cfRule>
  </conditionalFormatting>
  <conditionalFormatting sqref="AA298:AB298">
    <cfRule type="cellIs" dxfId="8732" priority="10878" operator="between">
      <formula>0.56251</formula>
      <formula>0.7125</formula>
    </cfRule>
    <cfRule type="cellIs" dxfId="8731" priority="10879" operator="between">
      <formula>0.3751</formula>
      <formula>0.5625</formula>
    </cfRule>
    <cfRule type="cellIs" dxfId="8730" priority="10880" operator="greaterThan">
      <formula>0.751</formula>
    </cfRule>
    <cfRule type="cellIs" dxfId="8729" priority="10881" operator="between">
      <formula>0.71251</formula>
      <formula>0.75</formula>
    </cfRule>
    <cfRule type="cellIs" dxfId="8728" priority="10882" stopIfTrue="1" operator="between">
      <formula>0</formula>
      <formula>0.375</formula>
    </cfRule>
  </conditionalFormatting>
  <conditionalFormatting sqref="U298">
    <cfRule type="cellIs" dxfId="8727" priority="10868" operator="between">
      <formula>0.376</formula>
      <formula>0.475</formula>
    </cfRule>
    <cfRule type="cellIs" dxfId="8726" priority="10869" operator="between">
      <formula>0.2551</formula>
      <formula>0.3751</formula>
    </cfRule>
    <cfRule type="cellIs" dxfId="8725" priority="10870" operator="greaterThan">
      <formula>0.505</formula>
    </cfRule>
    <cfRule type="cellIs" dxfId="8724" priority="10871" operator="between">
      <formula>0.48</formula>
      <formula>0.5</formula>
    </cfRule>
    <cfRule type="cellIs" dxfId="8723" priority="10872" stopIfTrue="1" operator="between">
      <formula>0</formula>
      <formula>0.255</formula>
    </cfRule>
  </conditionalFormatting>
  <conditionalFormatting sqref="AG298">
    <cfRule type="cellIs" dxfId="8722" priority="10830" operator="between">
      <formula>0.76</formula>
      <formula>0.95</formula>
    </cfRule>
    <cfRule type="cellIs" dxfId="8721" priority="10831" operator="between">
      <formula>0.51</formula>
      <formula>0.75</formula>
    </cfRule>
    <cfRule type="cellIs" dxfId="8720" priority="10832" operator="greaterThan">
      <formula>1</formula>
    </cfRule>
    <cfRule type="cellIs" dxfId="8719" priority="10833" operator="between">
      <formula>0.95</formula>
      <formula>1</formula>
    </cfRule>
    <cfRule type="cellIs" dxfId="8718" priority="10834" stopIfTrue="1" operator="between">
      <formula>0</formula>
      <formula>0.5</formula>
    </cfRule>
  </conditionalFormatting>
  <conditionalFormatting sqref="S298">
    <cfRule type="cellIs" dxfId="8717" priority="10825" operator="between">
      <formula>0.76</formula>
      <formula>0.95</formula>
    </cfRule>
    <cfRule type="cellIs" dxfId="8716" priority="10826" operator="between">
      <formula>0.51</formula>
      <formula>0.75</formula>
    </cfRule>
    <cfRule type="cellIs" dxfId="8715" priority="10827" operator="greaterThan">
      <formula>1</formula>
    </cfRule>
    <cfRule type="cellIs" dxfId="8714" priority="10828" operator="between">
      <formula>0.95</formula>
      <formula>1</formula>
    </cfRule>
    <cfRule type="cellIs" dxfId="8713" priority="10829" stopIfTrue="1" operator="between">
      <formula>0</formula>
      <formula>0.5</formula>
    </cfRule>
  </conditionalFormatting>
  <conditionalFormatting sqref="V298">
    <cfRule type="cellIs" dxfId="8712" priority="10820" operator="between">
      <formula>0.376</formula>
      <formula>0.475</formula>
    </cfRule>
    <cfRule type="cellIs" dxfId="8711" priority="10821" operator="between">
      <formula>0.2551</formula>
      <formula>0.3751</formula>
    </cfRule>
    <cfRule type="cellIs" dxfId="8710" priority="10822" operator="greaterThan">
      <formula>0.505</formula>
    </cfRule>
    <cfRule type="cellIs" dxfId="8709" priority="10823" operator="between">
      <formula>0.48</formula>
      <formula>0.5</formula>
    </cfRule>
    <cfRule type="cellIs" dxfId="8708" priority="10824" stopIfTrue="1" operator="between">
      <formula>0</formula>
      <formula>0.255</formula>
    </cfRule>
  </conditionalFormatting>
  <conditionalFormatting sqref="Z298">
    <cfRule type="cellIs" dxfId="8707" priority="10815" operator="between">
      <formula>0.76</formula>
      <formula>0.95</formula>
    </cfRule>
    <cfRule type="cellIs" dxfId="8706" priority="10816" operator="between">
      <formula>0.51</formula>
      <formula>0.75</formula>
    </cfRule>
    <cfRule type="cellIs" dxfId="8705" priority="10817" operator="greaterThan">
      <formula>1</formula>
    </cfRule>
    <cfRule type="cellIs" dxfId="8704" priority="10818" operator="between">
      <formula>0.95</formula>
      <formula>1</formula>
    </cfRule>
    <cfRule type="cellIs" dxfId="8703" priority="10819" stopIfTrue="1" operator="between">
      <formula>0</formula>
      <formula>0.5</formula>
    </cfRule>
  </conditionalFormatting>
  <conditionalFormatting sqref="AC298">
    <cfRule type="cellIs" dxfId="8702" priority="10810" operator="between">
      <formula>0.56251</formula>
      <formula>0.7125</formula>
    </cfRule>
    <cfRule type="cellIs" dxfId="8701" priority="10811" operator="between">
      <formula>0.3751</formula>
      <formula>0.5625</formula>
    </cfRule>
    <cfRule type="cellIs" dxfId="8700" priority="10812" operator="greaterThan">
      <formula>0.751</formula>
    </cfRule>
    <cfRule type="cellIs" dxfId="8699" priority="10813" operator="between">
      <formula>0.71251</formula>
      <formula>0.75</formula>
    </cfRule>
    <cfRule type="cellIs" dxfId="8698" priority="10814" stopIfTrue="1" operator="between">
      <formula>0</formula>
      <formula>0.375</formula>
    </cfRule>
  </conditionalFormatting>
  <conditionalFormatting sqref="R198 Y198 AF198 AH198:AI198">
    <cfRule type="cellIs" dxfId="8697" priority="10805" operator="between">
      <formula>0.76</formula>
      <formula>0.95</formula>
    </cfRule>
    <cfRule type="cellIs" dxfId="8696" priority="10806" operator="between">
      <formula>0.51</formula>
      <formula>0.75</formula>
    </cfRule>
    <cfRule type="cellIs" dxfId="8695" priority="10807" operator="greaterThan">
      <formula>1</formula>
    </cfRule>
    <cfRule type="cellIs" dxfId="8694" priority="10808" operator="between">
      <formula>0.95</formula>
      <formula>1</formula>
    </cfRule>
    <cfRule type="cellIs" dxfId="8693" priority="10809" stopIfTrue="1" operator="between">
      <formula>0</formula>
      <formula>0.5</formula>
    </cfRule>
  </conditionalFormatting>
  <conditionalFormatting sqref="T198">
    <cfRule type="cellIs" dxfId="8692" priority="10800" operator="between">
      <formula>0.3751</formula>
      <formula>0.475</formula>
    </cfRule>
    <cfRule type="cellIs" dxfId="8691" priority="10801" operator="between">
      <formula>0.2551</formula>
      <formula>0.375</formula>
    </cfRule>
    <cfRule type="cellIs" dxfId="8690" priority="10802" operator="greaterThan">
      <formula>0.505</formula>
    </cfRule>
    <cfRule type="cellIs" dxfId="8689" priority="10803" operator="between">
      <formula>0.48</formula>
      <formula>0.5</formula>
    </cfRule>
    <cfRule type="cellIs" dxfId="8688" priority="10804" stopIfTrue="1" operator="between">
      <formula>0</formula>
      <formula>0.255</formula>
    </cfRule>
  </conditionalFormatting>
  <conditionalFormatting sqref="AA198:AB198">
    <cfRule type="cellIs" dxfId="8687" priority="10795" operator="between">
      <formula>0.56251</formula>
      <formula>0.7125</formula>
    </cfRule>
    <cfRule type="cellIs" dxfId="8686" priority="10796" operator="between">
      <formula>0.3751</formula>
      <formula>0.5625</formula>
    </cfRule>
    <cfRule type="cellIs" dxfId="8685" priority="10797" operator="greaterThan">
      <formula>0.751</formula>
    </cfRule>
    <cfRule type="cellIs" dxfId="8684" priority="10798" operator="between">
      <formula>0.71251</formula>
      <formula>0.75</formula>
    </cfRule>
    <cfRule type="cellIs" dxfId="8683" priority="10799" stopIfTrue="1" operator="between">
      <formula>0</formula>
      <formula>0.375</formula>
    </cfRule>
  </conditionalFormatting>
  <conditionalFormatting sqref="U198">
    <cfRule type="cellIs" dxfId="8682" priority="10785" operator="between">
      <formula>0.376</formula>
      <formula>0.475</formula>
    </cfRule>
    <cfRule type="cellIs" dxfId="8681" priority="10786" operator="between">
      <formula>0.2551</formula>
      <formula>0.3751</formula>
    </cfRule>
    <cfRule type="cellIs" dxfId="8680" priority="10787" operator="greaterThan">
      <formula>0.505</formula>
    </cfRule>
    <cfRule type="cellIs" dxfId="8679" priority="10788" operator="between">
      <formula>0.48</formula>
      <formula>0.5</formula>
    </cfRule>
    <cfRule type="cellIs" dxfId="8678" priority="10789" stopIfTrue="1" operator="between">
      <formula>0</formula>
      <formula>0.255</formula>
    </cfRule>
  </conditionalFormatting>
  <conditionalFormatting sqref="AG198">
    <cfRule type="cellIs" dxfId="8677" priority="10777" operator="between">
      <formula>0.76</formula>
      <formula>0.95</formula>
    </cfRule>
    <cfRule type="cellIs" dxfId="8676" priority="10778" operator="between">
      <formula>0.51</formula>
      <formula>0.75</formula>
    </cfRule>
    <cfRule type="cellIs" dxfId="8675" priority="10779" operator="greaterThan">
      <formula>1</formula>
    </cfRule>
    <cfRule type="cellIs" dxfId="8674" priority="10780" operator="between">
      <formula>0.95</formula>
      <formula>1</formula>
    </cfRule>
    <cfRule type="cellIs" dxfId="8673" priority="10781" stopIfTrue="1" operator="between">
      <formula>0</formula>
      <formula>0.5</formula>
    </cfRule>
  </conditionalFormatting>
  <conditionalFormatting sqref="Z198">
    <cfRule type="cellIs" dxfId="8672" priority="10772" operator="between">
      <formula>0.76</formula>
      <formula>0.95</formula>
    </cfRule>
    <cfRule type="cellIs" dxfId="8671" priority="10773" operator="between">
      <formula>0.51</formula>
      <formula>0.75</formula>
    </cfRule>
    <cfRule type="cellIs" dxfId="8670" priority="10774" operator="greaterThan">
      <formula>1</formula>
    </cfRule>
    <cfRule type="cellIs" dxfId="8669" priority="10775" operator="between">
      <formula>0.95</formula>
      <formula>1</formula>
    </cfRule>
    <cfRule type="cellIs" dxfId="8668" priority="10776" stopIfTrue="1" operator="between">
      <formula>0</formula>
      <formula>0.5</formula>
    </cfRule>
  </conditionalFormatting>
  <conditionalFormatting sqref="AC198">
    <cfRule type="cellIs" dxfId="8667" priority="10767" operator="between">
      <formula>0.56251</formula>
      <formula>0.7125</formula>
    </cfRule>
    <cfRule type="cellIs" dxfId="8666" priority="10768" operator="between">
      <formula>0.3751</formula>
      <formula>0.5625</formula>
    </cfRule>
    <cfRule type="cellIs" dxfId="8665" priority="10769" operator="greaterThan">
      <formula>0.751</formula>
    </cfRule>
    <cfRule type="cellIs" dxfId="8664" priority="10770" operator="between">
      <formula>0.71251</formula>
      <formula>0.75</formula>
    </cfRule>
    <cfRule type="cellIs" dxfId="8663" priority="10771" stopIfTrue="1" operator="between">
      <formula>0</formula>
      <formula>0.375</formula>
    </cfRule>
  </conditionalFormatting>
  <conditionalFormatting sqref="S198">
    <cfRule type="cellIs" dxfId="8662" priority="10762" operator="between">
      <formula>0.76</formula>
      <formula>0.95</formula>
    </cfRule>
    <cfRule type="cellIs" dxfId="8661" priority="10763" operator="between">
      <formula>0.51</formula>
      <formula>0.75</formula>
    </cfRule>
    <cfRule type="cellIs" dxfId="8660" priority="10764" operator="greaterThan">
      <formula>1</formula>
    </cfRule>
    <cfRule type="cellIs" dxfId="8659" priority="10765" operator="between">
      <formula>0.95</formula>
      <formula>1</formula>
    </cfRule>
    <cfRule type="cellIs" dxfId="8658" priority="10766" stopIfTrue="1" operator="between">
      <formula>0</formula>
      <formula>0.5</formula>
    </cfRule>
  </conditionalFormatting>
  <conditionalFormatting sqref="V198">
    <cfRule type="cellIs" dxfId="8657" priority="10757" operator="between">
      <formula>0.376</formula>
      <formula>0.475</formula>
    </cfRule>
    <cfRule type="cellIs" dxfId="8656" priority="10758" operator="between">
      <formula>0.2551</formula>
      <formula>0.3751</formula>
    </cfRule>
    <cfRule type="cellIs" dxfId="8655" priority="10759" operator="greaterThan">
      <formula>0.505</formula>
    </cfRule>
    <cfRule type="cellIs" dxfId="8654" priority="10760" operator="between">
      <formula>0.48</formula>
      <formula>0.5</formula>
    </cfRule>
    <cfRule type="cellIs" dxfId="8653" priority="10761" stopIfTrue="1" operator="between">
      <formula>0</formula>
      <formula>0.255</formula>
    </cfRule>
  </conditionalFormatting>
  <conditionalFormatting sqref="Y299 AF299 R299 AH299:AI299">
    <cfRule type="cellIs" dxfId="8652" priority="10737" operator="between">
      <formula>0.76</formula>
      <formula>0.95</formula>
    </cfRule>
    <cfRule type="cellIs" dxfId="8651" priority="10738" operator="between">
      <formula>0.51</formula>
      <formula>0.75</formula>
    </cfRule>
    <cfRule type="cellIs" dxfId="8650" priority="10739" operator="greaterThan">
      <formula>1</formula>
    </cfRule>
    <cfRule type="cellIs" dxfId="8649" priority="10740" operator="between">
      <formula>0.95</formula>
      <formula>1</formula>
    </cfRule>
    <cfRule type="cellIs" dxfId="8648" priority="10741" stopIfTrue="1" operator="between">
      <formula>0</formula>
      <formula>0.5</formula>
    </cfRule>
  </conditionalFormatting>
  <conditionalFormatting sqref="T299">
    <cfRule type="cellIs" dxfId="8647" priority="10732" operator="between">
      <formula>0.3751</formula>
      <formula>0.475</formula>
    </cfRule>
    <cfRule type="cellIs" dxfId="8646" priority="10733" operator="between">
      <formula>0.2551</formula>
      <formula>0.375</formula>
    </cfRule>
    <cfRule type="cellIs" dxfId="8645" priority="10734" operator="greaterThan">
      <formula>0.505</formula>
    </cfRule>
    <cfRule type="cellIs" dxfId="8644" priority="10735" operator="between">
      <formula>0.48</formula>
      <formula>0.5</formula>
    </cfRule>
    <cfRule type="cellIs" dxfId="8643" priority="10736" stopIfTrue="1" operator="between">
      <formula>0</formula>
      <formula>0.255</formula>
    </cfRule>
  </conditionalFormatting>
  <conditionalFormatting sqref="U299">
    <cfRule type="cellIs" dxfId="8642" priority="10717" operator="between">
      <formula>0.376</formula>
      <formula>0.475</formula>
    </cfRule>
    <cfRule type="cellIs" dxfId="8641" priority="10718" operator="between">
      <formula>0.2551</formula>
      <formula>0.3751</formula>
    </cfRule>
    <cfRule type="cellIs" dxfId="8640" priority="10719" operator="greaterThan">
      <formula>0.505</formula>
    </cfRule>
    <cfRule type="cellIs" dxfId="8639" priority="10720" operator="between">
      <formula>0.48</formula>
      <formula>0.5</formula>
    </cfRule>
    <cfRule type="cellIs" dxfId="8638" priority="10721" stopIfTrue="1" operator="between">
      <formula>0</formula>
      <formula>0.255</formula>
    </cfRule>
  </conditionalFormatting>
  <conditionalFormatting sqref="AG299">
    <cfRule type="cellIs" dxfId="8637" priority="10699" operator="between">
      <formula>0.76</formula>
      <formula>0.95</formula>
    </cfRule>
    <cfRule type="cellIs" dxfId="8636" priority="10700" operator="between">
      <formula>0.51</formula>
      <formula>0.75</formula>
    </cfRule>
    <cfRule type="cellIs" dxfId="8635" priority="10701" operator="greaterThan">
      <formula>1</formula>
    </cfRule>
    <cfRule type="cellIs" dxfId="8634" priority="10702" operator="between">
      <formula>0.95</formula>
      <formula>1</formula>
    </cfRule>
    <cfRule type="cellIs" dxfId="8633" priority="10703" stopIfTrue="1" operator="between">
      <formula>0</formula>
      <formula>0.5</formula>
    </cfRule>
  </conditionalFormatting>
  <conditionalFormatting sqref="S299">
    <cfRule type="cellIs" dxfId="8632" priority="10694" operator="between">
      <formula>0.76</formula>
      <formula>0.95</formula>
    </cfRule>
    <cfRule type="cellIs" dxfId="8631" priority="10695" operator="between">
      <formula>0.51</formula>
      <formula>0.75</formula>
    </cfRule>
    <cfRule type="cellIs" dxfId="8630" priority="10696" operator="greaterThan">
      <formula>1</formula>
    </cfRule>
    <cfRule type="cellIs" dxfId="8629" priority="10697" operator="between">
      <formula>0.95</formula>
      <formula>1</formula>
    </cfRule>
    <cfRule type="cellIs" dxfId="8628" priority="10698" stopIfTrue="1" operator="between">
      <formula>0</formula>
      <formula>0.5</formula>
    </cfRule>
  </conditionalFormatting>
  <conditionalFormatting sqref="V299">
    <cfRule type="cellIs" dxfId="8627" priority="10689" operator="between">
      <formula>0.376</formula>
      <formula>0.475</formula>
    </cfRule>
    <cfRule type="cellIs" dxfId="8626" priority="10690" operator="between">
      <formula>0.2551</formula>
      <formula>0.3751</formula>
    </cfRule>
    <cfRule type="cellIs" dxfId="8625" priority="10691" operator="greaterThan">
      <formula>0.505</formula>
    </cfRule>
    <cfRule type="cellIs" dxfId="8624" priority="10692" operator="between">
      <formula>0.48</formula>
      <formula>0.5</formula>
    </cfRule>
    <cfRule type="cellIs" dxfId="8623" priority="10693" stopIfTrue="1" operator="between">
      <formula>0</formula>
      <formula>0.255</formula>
    </cfRule>
  </conditionalFormatting>
  <conditionalFormatting sqref="Z299">
    <cfRule type="cellIs" dxfId="8622" priority="10684" operator="between">
      <formula>0.76</formula>
      <formula>0.95</formula>
    </cfRule>
    <cfRule type="cellIs" dxfId="8621" priority="10685" operator="between">
      <formula>0.51</formula>
      <formula>0.75</formula>
    </cfRule>
    <cfRule type="cellIs" dxfId="8620" priority="10686" operator="greaterThan">
      <formula>1</formula>
    </cfRule>
    <cfRule type="cellIs" dxfId="8619" priority="10687" operator="between">
      <formula>0.95</formula>
      <formula>1</formula>
    </cfRule>
    <cfRule type="cellIs" dxfId="8618" priority="10688" stopIfTrue="1" operator="between">
      <formula>0</formula>
      <formula>0.5</formula>
    </cfRule>
  </conditionalFormatting>
  <conditionalFormatting sqref="Y300 AF300 R300 AH300:AI300">
    <cfRule type="cellIs" dxfId="8617" priority="10674" operator="between">
      <formula>0.76</formula>
      <formula>0.95</formula>
    </cfRule>
    <cfRule type="cellIs" dxfId="8616" priority="10675" operator="between">
      <formula>0.51</formula>
      <formula>0.75</formula>
    </cfRule>
    <cfRule type="cellIs" dxfId="8615" priority="10676" operator="greaterThan">
      <formula>1</formula>
    </cfRule>
    <cfRule type="cellIs" dxfId="8614" priority="10677" operator="between">
      <formula>0.95</formula>
      <formula>1</formula>
    </cfRule>
    <cfRule type="cellIs" dxfId="8613" priority="10678" stopIfTrue="1" operator="between">
      <formula>0</formula>
      <formula>0.5</formula>
    </cfRule>
  </conditionalFormatting>
  <conditionalFormatting sqref="T300">
    <cfRule type="cellIs" dxfId="8612" priority="10669" operator="between">
      <formula>0.3751</formula>
      <formula>0.475</formula>
    </cfRule>
    <cfRule type="cellIs" dxfId="8611" priority="10670" operator="between">
      <formula>0.2551</formula>
      <formula>0.375</formula>
    </cfRule>
    <cfRule type="cellIs" dxfId="8610" priority="10671" operator="greaterThan">
      <formula>0.505</formula>
    </cfRule>
    <cfRule type="cellIs" dxfId="8609" priority="10672" operator="between">
      <formula>0.48</formula>
      <formula>0.5</formula>
    </cfRule>
    <cfRule type="cellIs" dxfId="8608" priority="10673" stopIfTrue="1" operator="between">
      <formula>0</formula>
      <formula>0.255</formula>
    </cfRule>
  </conditionalFormatting>
  <conditionalFormatting sqref="AA300:AB300">
    <cfRule type="cellIs" dxfId="8607" priority="10664" operator="between">
      <formula>0.56251</formula>
      <formula>0.7125</formula>
    </cfRule>
    <cfRule type="cellIs" dxfId="8606" priority="10665" operator="between">
      <formula>0.3751</formula>
      <formula>0.5625</formula>
    </cfRule>
    <cfRule type="cellIs" dxfId="8605" priority="10666" operator="greaterThan">
      <formula>0.751</formula>
    </cfRule>
    <cfRule type="cellIs" dxfId="8604" priority="10667" operator="between">
      <formula>0.71251</formula>
      <formula>0.75</formula>
    </cfRule>
    <cfRule type="cellIs" dxfId="8603" priority="10668" stopIfTrue="1" operator="between">
      <formula>0</formula>
      <formula>0.375</formula>
    </cfRule>
  </conditionalFormatting>
  <conditionalFormatting sqref="U300">
    <cfRule type="cellIs" dxfId="8602" priority="10654" operator="between">
      <formula>0.376</formula>
      <formula>0.475</formula>
    </cfRule>
    <cfRule type="cellIs" dxfId="8601" priority="10655" operator="between">
      <formula>0.2551</formula>
      <formula>0.3751</formula>
    </cfRule>
    <cfRule type="cellIs" dxfId="8600" priority="10656" operator="greaterThan">
      <formula>0.505</formula>
    </cfRule>
    <cfRule type="cellIs" dxfId="8599" priority="10657" operator="between">
      <formula>0.48</formula>
      <formula>0.5</formula>
    </cfRule>
    <cfRule type="cellIs" dxfId="8598" priority="10658" stopIfTrue="1" operator="between">
      <formula>0</formula>
      <formula>0.255</formula>
    </cfRule>
  </conditionalFormatting>
  <conditionalFormatting sqref="S300">
    <cfRule type="cellIs" dxfId="8597" priority="10631" operator="between">
      <formula>0.76</formula>
      <formula>0.95</formula>
    </cfRule>
    <cfRule type="cellIs" dxfId="8596" priority="10632" operator="between">
      <formula>0.51</formula>
      <formula>0.75</formula>
    </cfRule>
    <cfRule type="cellIs" dxfId="8595" priority="10633" operator="greaterThan">
      <formula>1</formula>
    </cfRule>
    <cfRule type="cellIs" dxfId="8594" priority="10634" operator="between">
      <formula>0.95</formula>
      <formula>1</formula>
    </cfRule>
    <cfRule type="cellIs" dxfId="8593" priority="10635" stopIfTrue="1" operator="between">
      <formula>0</formula>
      <formula>0.5</formula>
    </cfRule>
  </conditionalFormatting>
  <conditionalFormatting sqref="V300">
    <cfRule type="cellIs" dxfId="8592" priority="10626" operator="between">
      <formula>0.376</formula>
      <formula>0.475</formula>
    </cfRule>
    <cfRule type="cellIs" dxfId="8591" priority="10627" operator="between">
      <formula>0.2551</formula>
      <formula>0.3751</formula>
    </cfRule>
    <cfRule type="cellIs" dxfId="8590" priority="10628" operator="greaterThan">
      <formula>0.505</formula>
    </cfRule>
    <cfRule type="cellIs" dxfId="8589" priority="10629" operator="between">
      <formula>0.48</formula>
      <formula>0.5</formula>
    </cfRule>
    <cfRule type="cellIs" dxfId="8588" priority="10630" stopIfTrue="1" operator="between">
      <formula>0</formula>
      <formula>0.255</formula>
    </cfRule>
  </conditionalFormatting>
  <conditionalFormatting sqref="Z300">
    <cfRule type="cellIs" dxfId="8587" priority="10621" operator="between">
      <formula>0.76</formula>
      <formula>0.95</formula>
    </cfRule>
    <cfRule type="cellIs" dxfId="8586" priority="10622" operator="between">
      <formula>0.51</formula>
      <formula>0.75</formula>
    </cfRule>
    <cfRule type="cellIs" dxfId="8585" priority="10623" operator="greaterThan">
      <formula>1</formula>
    </cfRule>
    <cfRule type="cellIs" dxfId="8584" priority="10624" operator="between">
      <formula>0.95</formula>
      <formula>1</formula>
    </cfRule>
    <cfRule type="cellIs" dxfId="8583" priority="10625" stopIfTrue="1" operator="between">
      <formula>0</formula>
      <formula>0.5</formula>
    </cfRule>
  </conditionalFormatting>
  <conditionalFormatting sqref="AC300">
    <cfRule type="cellIs" dxfId="8582" priority="10616" operator="between">
      <formula>0.56251</formula>
      <formula>0.7125</formula>
    </cfRule>
    <cfRule type="cellIs" dxfId="8581" priority="10617" operator="between">
      <formula>0.3751</formula>
      <formula>0.5625</formula>
    </cfRule>
    <cfRule type="cellIs" dxfId="8580" priority="10618" operator="greaterThan">
      <formula>0.751</formula>
    </cfRule>
    <cfRule type="cellIs" dxfId="8579" priority="10619" operator="between">
      <formula>0.71251</formula>
      <formula>0.75</formula>
    </cfRule>
    <cfRule type="cellIs" dxfId="8578" priority="10620" stopIfTrue="1" operator="between">
      <formula>0</formula>
      <formula>0.375</formula>
    </cfRule>
  </conditionalFormatting>
  <conditionalFormatting sqref="Y292 AF292 R292 AH292:AI292">
    <cfRule type="cellIs" dxfId="8577" priority="10611" operator="between">
      <formula>0.76</formula>
      <formula>0.95</formula>
    </cfRule>
    <cfRule type="cellIs" dxfId="8576" priority="10612" operator="between">
      <formula>0.51</formula>
      <formula>0.75</formula>
    </cfRule>
    <cfRule type="cellIs" dxfId="8575" priority="10613" operator="greaterThan">
      <formula>1</formula>
    </cfRule>
    <cfRule type="cellIs" dxfId="8574" priority="10614" operator="between">
      <formula>0.95</formula>
      <formula>1</formula>
    </cfRule>
    <cfRule type="cellIs" dxfId="8573" priority="10615" stopIfTrue="1" operator="between">
      <formula>0</formula>
      <formula>0.5</formula>
    </cfRule>
  </conditionalFormatting>
  <conditionalFormatting sqref="T292">
    <cfRule type="cellIs" dxfId="8572" priority="10606" operator="between">
      <formula>0.3751</formula>
      <formula>0.475</formula>
    </cfRule>
    <cfRule type="cellIs" dxfId="8571" priority="10607" operator="between">
      <formula>0.2551</formula>
      <formula>0.375</formula>
    </cfRule>
    <cfRule type="cellIs" dxfId="8570" priority="10608" operator="greaterThan">
      <formula>0.505</formula>
    </cfRule>
    <cfRule type="cellIs" dxfId="8569" priority="10609" operator="between">
      <formula>0.48</formula>
      <formula>0.5</formula>
    </cfRule>
    <cfRule type="cellIs" dxfId="8568" priority="10610" stopIfTrue="1" operator="between">
      <formula>0</formula>
      <formula>0.255</formula>
    </cfRule>
  </conditionalFormatting>
  <conditionalFormatting sqref="AA292:AB292">
    <cfRule type="cellIs" dxfId="8567" priority="10601" operator="between">
      <formula>0.56251</formula>
      <formula>0.7125</formula>
    </cfRule>
    <cfRule type="cellIs" dxfId="8566" priority="10602" operator="between">
      <formula>0.3751</formula>
      <formula>0.5625</formula>
    </cfRule>
    <cfRule type="cellIs" dxfId="8565" priority="10603" operator="greaterThan">
      <formula>0.751</formula>
    </cfRule>
    <cfRule type="cellIs" dxfId="8564" priority="10604" operator="between">
      <formula>0.71251</formula>
      <formula>0.75</formula>
    </cfRule>
    <cfRule type="cellIs" dxfId="8563" priority="10605" stopIfTrue="1" operator="between">
      <formula>0</formula>
      <formula>0.375</formula>
    </cfRule>
  </conditionalFormatting>
  <conditionalFormatting sqref="U292">
    <cfRule type="cellIs" dxfId="8562" priority="10591" operator="between">
      <formula>0.376</formula>
      <formula>0.475</formula>
    </cfRule>
    <cfRule type="cellIs" dxfId="8561" priority="10592" operator="between">
      <formula>0.2551</formula>
      <formula>0.3751</formula>
    </cfRule>
    <cfRule type="cellIs" dxfId="8560" priority="10593" operator="greaterThan">
      <formula>0.505</formula>
    </cfRule>
    <cfRule type="cellIs" dxfId="8559" priority="10594" operator="between">
      <formula>0.48</formula>
      <formula>0.5</formula>
    </cfRule>
    <cfRule type="cellIs" dxfId="8558" priority="10595" stopIfTrue="1" operator="between">
      <formula>0</formula>
      <formula>0.255</formula>
    </cfRule>
  </conditionalFormatting>
  <conditionalFormatting sqref="AG292">
    <cfRule type="cellIs" dxfId="8557" priority="10583" operator="between">
      <formula>0.76</formula>
      <formula>0.95</formula>
    </cfRule>
    <cfRule type="cellIs" dxfId="8556" priority="10584" operator="between">
      <formula>0.51</formula>
      <formula>0.75</formula>
    </cfRule>
    <cfRule type="cellIs" dxfId="8555" priority="10585" operator="greaterThan">
      <formula>1</formula>
    </cfRule>
    <cfRule type="cellIs" dxfId="8554" priority="10586" operator="between">
      <formula>0.95</formula>
      <formula>1</formula>
    </cfRule>
    <cfRule type="cellIs" dxfId="8553" priority="10587" stopIfTrue="1" operator="between">
      <formula>0</formula>
      <formula>0.5</formula>
    </cfRule>
  </conditionalFormatting>
  <conditionalFormatting sqref="V292">
    <cfRule type="cellIs" dxfId="8552" priority="10563" operator="between">
      <formula>0.376</formula>
      <formula>0.475</formula>
    </cfRule>
    <cfRule type="cellIs" dxfId="8551" priority="10564" operator="between">
      <formula>0.2551</formula>
      <formula>0.3751</formula>
    </cfRule>
    <cfRule type="cellIs" dxfId="8550" priority="10565" operator="greaterThan">
      <formula>0.505</formula>
    </cfRule>
    <cfRule type="cellIs" dxfId="8549" priority="10566" operator="between">
      <formula>0.48</formula>
      <formula>0.5</formula>
    </cfRule>
    <cfRule type="cellIs" dxfId="8548" priority="10567" stopIfTrue="1" operator="between">
      <formula>0</formula>
      <formula>0.255</formula>
    </cfRule>
  </conditionalFormatting>
  <conditionalFormatting sqref="Z292">
    <cfRule type="cellIs" dxfId="8547" priority="10558" operator="between">
      <formula>0.76</formula>
      <formula>0.95</formula>
    </cfRule>
    <cfRule type="cellIs" dxfId="8546" priority="10559" operator="between">
      <formula>0.51</formula>
      <formula>0.75</formula>
    </cfRule>
    <cfRule type="cellIs" dxfId="8545" priority="10560" operator="greaterThan">
      <formula>1</formula>
    </cfRule>
    <cfRule type="cellIs" dxfId="8544" priority="10561" operator="between">
      <formula>0.95</formula>
      <formula>1</formula>
    </cfRule>
    <cfRule type="cellIs" dxfId="8543" priority="10562" stopIfTrue="1" operator="between">
      <formula>0</formula>
      <formula>0.5</formula>
    </cfRule>
  </conditionalFormatting>
  <conditionalFormatting sqref="AC292">
    <cfRule type="cellIs" dxfId="8542" priority="10553" operator="between">
      <formula>0.56251</formula>
      <formula>0.7125</formula>
    </cfRule>
    <cfRule type="cellIs" dxfId="8541" priority="10554" operator="between">
      <formula>0.3751</formula>
      <formula>0.5625</formula>
    </cfRule>
    <cfRule type="cellIs" dxfId="8540" priority="10555" operator="greaterThan">
      <formula>0.751</formula>
    </cfRule>
    <cfRule type="cellIs" dxfId="8539" priority="10556" operator="between">
      <formula>0.71251</formula>
      <formula>0.75</formula>
    </cfRule>
    <cfRule type="cellIs" dxfId="8538" priority="10557" stopIfTrue="1" operator="between">
      <formula>0</formula>
      <formula>0.375</formula>
    </cfRule>
  </conditionalFormatting>
  <conditionalFormatting sqref="S293:S295">
    <cfRule type="cellIs" dxfId="8537" priority="10505" operator="between">
      <formula>0.76</formula>
      <formula>0.95</formula>
    </cfRule>
    <cfRule type="cellIs" dxfId="8536" priority="10506" operator="between">
      <formula>0.51</formula>
      <formula>0.75</formula>
    </cfRule>
    <cfRule type="cellIs" dxfId="8535" priority="10507" operator="greaterThan">
      <formula>1</formula>
    </cfRule>
    <cfRule type="cellIs" dxfId="8534" priority="10508" operator="between">
      <formula>0.95</formula>
      <formula>1</formula>
    </cfRule>
    <cfRule type="cellIs" dxfId="8533" priority="10509" stopIfTrue="1" operator="between">
      <formula>0</formula>
      <formula>0.5</formula>
    </cfRule>
  </conditionalFormatting>
  <conditionalFormatting sqref="Y293:Y295 AF293:AF295 R293:R295 AH293:AI295">
    <cfRule type="cellIs" dxfId="8532" priority="10548" operator="between">
      <formula>0.76</formula>
      <formula>0.95</formula>
    </cfRule>
    <cfRule type="cellIs" dxfId="8531" priority="10549" operator="between">
      <formula>0.51</formula>
      <formula>0.75</formula>
    </cfRule>
    <cfRule type="cellIs" dxfId="8530" priority="10550" operator="greaterThan">
      <formula>1</formula>
    </cfRule>
    <cfRule type="cellIs" dxfId="8529" priority="10551" operator="between">
      <formula>0.95</formula>
      <formula>1</formula>
    </cfRule>
    <cfRule type="cellIs" dxfId="8528" priority="10552" stopIfTrue="1" operator="between">
      <formula>0</formula>
      <formula>0.5</formula>
    </cfRule>
  </conditionalFormatting>
  <conditionalFormatting sqref="T293:T295">
    <cfRule type="cellIs" dxfId="8527" priority="10543" operator="between">
      <formula>0.3751</formula>
      <formula>0.475</formula>
    </cfRule>
    <cfRule type="cellIs" dxfId="8526" priority="10544" operator="between">
      <formula>0.2551</formula>
      <formula>0.375</formula>
    </cfRule>
    <cfRule type="cellIs" dxfId="8525" priority="10545" operator="greaterThan">
      <formula>0.505</formula>
    </cfRule>
    <cfRule type="cellIs" dxfId="8524" priority="10546" operator="between">
      <formula>0.48</formula>
      <formula>0.5</formula>
    </cfRule>
    <cfRule type="cellIs" dxfId="8523" priority="10547" stopIfTrue="1" operator="between">
      <formula>0</formula>
      <formula>0.255</formula>
    </cfRule>
  </conditionalFormatting>
  <conditionalFormatting sqref="AA293:AB295">
    <cfRule type="cellIs" dxfId="8522" priority="10538" operator="between">
      <formula>0.56251</formula>
      <formula>0.7125</formula>
    </cfRule>
    <cfRule type="cellIs" dxfId="8521" priority="10539" operator="between">
      <formula>0.3751</formula>
      <formula>0.5625</formula>
    </cfRule>
    <cfRule type="cellIs" dxfId="8520" priority="10540" operator="greaterThan">
      <formula>0.751</formula>
    </cfRule>
    <cfRule type="cellIs" dxfId="8519" priority="10541" operator="between">
      <formula>0.71251</formula>
      <formula>0.75</formula>
    </cfRule>
    <cfRule type="cellIs" dxfId="8518" priority="10542" stopIfTrue="1" operator="between">
      <formula>0</formula>
      <formula>0.375</formula>
    </cfRule>
  </conditionalFormatting>
  <conditionalFormatting sqref="U293:U295">
    <cfRule type="cellIs" dxfId="8517" priority="10528" operator="between">
      <formula>0.376</formula>
      <formula>0.475</formula>
    </cfRule>
    <cfRule type="cellIs" dxfId="8516" priority="10529" operator="between">
      <formula>0.2551</formula>
      <formula>0.3751</formula>
    </cfRule>
    <cfRule type="cellIs" dxfId="8515" priority="10530" operator="greaterThan">
      <formula>0.505</formula>
    </cfRule>
    <cfRule type="cellIs" dxfId="8514" priority="10531" operator="between">
      <formula>0.48</formula>
      <formula>0.5</formula>
    </cfRule>
    <cfRule type="cellIs" dxfId="8513" priority="10532" stopIfTrue="1" operator="between">
      <formula>0</formula>
      <formula>0.255</formula>
    </cfRule>
  </conditionalFormatting>
  <conditionalFormatting sqref="AG293:AG295">
    <cfRule type="cellIs" dxfId="8512" priority="10520" operator="between">
      <formula>0.76</formula>
      <formula>0.95</formula>
    </cfRule>
    <cfRule type="cellIs" dxfId="8511" priority="10521" operator="between">
      <formula>0.51</formula>
      <formula>0.75</formula>
    </cfRule>
    <cfRule type="cellIs" dxfId="8510" priority="10522" operator="greaterThan">
      <formula>1</formula>
    </cfRule>
    <cfRule type="cellIs" dxfId="8509" priority="10523" operator="between">
      <formula>0.95</formula>
      <formula>1</formula>
    </cfRule>
    <cfRule type="cellIs" dxfId="8508" priority="10524" stopIfTrue="1" operator="between">
      <formula>0</formula>
      <formula>0.5</formula>
    </cfRule>
  </conditionalFormatting>
  <conditionalFormatting sqref="V293:V295">
    <cfRule type="cellIs" dxfId="8507" priority="10500" operator="between">
      <formula>0.376</formula>
      <formula>0.475</formula>
    </cfRule>
    <cfRule type="cellIs" dxfId="8506" priority="10501" operator="between">
      <formula>0.2551</formula>
      <formula>0.3751</formula>
    </cfRule>
    <cfRule type="cellIs" dxfId="8505" priority="10502" operator="greaterThan">
      <formula>0.505</formula>
    </cfRule>
    <cfRule type="cellIs" dxfId="8504" priority="10503" operator="between">
      <formula>0.48</formula>
      <formula>0.5</formula>
    </cfRule>
    <cfRule type="cellIs" dxfId="8503" priority="10504" stopIfTrue="1" operator="between">
      <formula>0</formula>
      <formula>0.255</formula>
    </cfRule>
  </conditionalFormatting>
  <conditionalFormatting sqref="Z293:Z294">
    <cfRule type="cellIs" dxfId="8502" priority="10495" operator="between">
      <formula>0.76</formula>
      <formula>0.95</formula>
    </cfRule>
    <cfRule type="cellIs" dxfId="8501" priority="10496" operator="between">
      <formula>0.51</formula>
      <formula>0.75</formula>
    </cfRule>
    <cfRule type="cellIs" dxfId="8500" priority="10497" operator="greaterThan">
      <formula>1</formula>
    </cfRule>
    <cfRule type="cellIs" dxfId="8499" priority="10498" operator="between">
      <formula>0.95</formula>
      <formula>1</formula>
    </cfRule>
    <cfRule type="cellIs" dxfId="8498" priority="10499" stopIfTrue="1" operator="between">
      <formula>0</formula>
      <formula>0.5</formula>
    </cfRule>
  </conditionalFormatting>
  <conditionalFormatting sqref="AC293:AC295">
    <cfRule type="cellIs" dxfId="8497" priority="10490" operator="between">
      <formula>0.56251</formula>
      <formula>0.7125</formula>
    </cfRule>
    <cfRule type="cellIs" dxfId="8496" priority="10491" operator="between">
      <formula>0.3751</formula>
      <formula>0.5625</formula>
    </cfRule>
    <cfRule type="cellIs" dxfId="8495" priority="10492" operator="greaterThan">
      <formula>0.751</formula>
    </cfRule>
    <cfRule type="cellIs" dxfId="8494" priority="10493" operator="between">
      <formula>0.71251</formula>
      <formula>0.75</formula>
    </cfRule>
    <cfRule type="cellIs" dxfId="8493" priority="10494" stopIfTrue="1" operator="between">
      <formula>0</formula>
      <formula>0.375</formula>
    </cfRule>
  </conditionalFormatting>
  <conditionalFormatting sqref="AI357">
    <cfRule type="cellIs" dxfId="8492" priority="10485" operator="between">
      <formula>0.76</formula>
      <formula>0.95</formula>
    </cfRule>
    <cfRule type="cellIs" dxfId="8491" priority="10486" operator="between">
      <formula>0.51</formula>
      <formula>0.75</formula>
    </cfRule>
    <cfRule type="cellIs" dxfId="8490" priority="10487" operator="greaterThan">
      <formula>1</formula>
    </cfRule>
    <cfRule type="cellIs" dxfId="8489" priority="10488" operator="between">
      <formula>0.95</formula>
      <formula>1</formula>
    </cfRule>
    <cfRule type="cellIs" dxfId="8488" priority="10489" stopIfTrue="1" operator="between">
      <formula>0</formula>
      <formula>0.5</formula>
    </cfRule>
  </conditionalFormatting>
  <conditionalFormatting sqref="R357">
    <cfRule type="cellIs" dxfId="8487" priority="10475" operator="between">
      <formula>0.76</formula>
      <formula>0.95</formula>
    </cfRule>
    <cfRule type="cellIs" dxfId="8486" priority="10476" operator="between">
      <formula>0.51</formula>
      <formula>0.75</formula>
    </cfRule>
    <cfRule type="cellIs" dxfId="8485" priority="10477" operator="greaterThan">
      <formula>1</formula>
    </cfRule>
    <cfRule type="cellIs" dxfId="8484" priority="10478" operator="between">
      <formula>0.95</formula>
      <formula>1</formula>
    </cfRule>
    <cfRule type="cellIs" dxfId="8483" priority="10479" stopIfTrue="1" operator="between">
      <formula>0</formula>
      <formula>0.5</formula>
    </cfRule>
  </conditionalFormatting>
  <conditionalFormatting sqref="Y357">
    <cfRule type="cellIs" dxfId="8482" priority="10470" operator="between">
      <formula>0.76</formula>
      <formula>0.95</formula>
    </cfRule>
    <cfRule type="cellIs" dxfId="8481" priority="10471" operator="between">
      <formula>0.51</formula>
      <formula>0.75</formula>
    </cfRule>
    <cfRule type="cellIs" dxfId="8480" priority="10472" operator="greaterThan">
      <formula>1</formula>
    </cfRule>
    <cfRule type="cellIs" dxfId="8479" priority="10473" operator="between">
      <formula>0.95</formula>
      <formula>1</formula>
    </cfRule>
    <cfRule type="cellIs" dxfId="8478" priority="10474" stopIfTrue="1" operator="between">
      <formula>0</formula>
      <formula>0.5</formula>
    </cfRule>
  </conditionalFormatting>
  <conditionalFormatting sqref="AF357">
    <cfRule type="cellIs" dxfId="8477" priority="10465" operator="between">
      <formula>0.76</formula>
      <formula>0.95</formula>
    </cfRule>
    <cfRule type="cellIs" dxfId="8476" priority="10466" operator="between">
      <formula>0.51</formula>
      <formula>0.75</formula>
    </cfRule>
    <cfRule type="cellIs" dxfId="8475" priority="10467" operator="greaterThan">
      <formula>1</formula>
    </cfRule>
    <cfRule type="cellIs" dxfId="8474" priority="10468" operator="between">
      <formula>0.95</formula>
      <formula>1</formula>
    </cfRule>
    <cfRule type="cellIs" dxfId="8473" priority="10469" stopIfTrue="1" operator="between">
      <formula>0</formula>
      <formula>0.5</formula>
    </cfRule>
  </conditionalFormatting>
  <conditionalFormatting sqref="AH357">
    <cfRule type="cellIs" dxfId="8472" priority="10460" operator="between">
      <formula>0.76</formula>
      <formula>0.95</formula>
    </cfRule>
    <cfRule type="cellIs" dxfId="8471" priority="10461" operator="between">
      <formula>0.51</formula>
      <formula>0.75</formula>
    </cfRule>
    <cfRule type="cellIs" dxfId="8470" priority="10462" operator="greaterThan">
      <formula>1</formula>
    </cfRule>
    <cfRule type="cellIs" dxfId="8469" priority="10463" operator="between">
      <formula>0.95</formula>
      <formula>1</formula>
    </cfRule>
    <cfRule type="cellIs" dxfId="8468" priority="10464" stopIfTrue="1" operator="between">
      <formula>0</formula>
      <formula>0.5</formula>
    </cfRule>
  </conditionalFormatting>
  <conditionalFormatting sqref="T357">
    <cfRule type="cellIs" dxfId="8467" priority="10445" operator="between">
      <formula>0.3751</formula>
      <formula>0.475</formula>
    </cfRule>
    <cfRule type="cellIs" dxfId="8466" priority="10446" operator="between">
      <formula>0.2551</formula>
      <formula>0.375</formula>
    </cfRule>
    <cfRule type="cellIs" dxfId="8465" priority="10447" operator="greaterThan">
      <formula>0.505</formula>
    </cfRule>
    <cfRule type="cellIs" dxfId="8464" priority="10448" operator="between">
      <formula>0.48</formula>
      <formula>0.5</formula>
    </cfRule>
    <cfRule type="cellIs" dxfId="8463" priority="10449" stopIfTrue="1" operator="between">
      <formula>0</formula>
      <formula>0.255</formula>
    </cfRule>
  </conditionalFormatting>
  <conditionalFormatting sqref="U357">
    <cfRule type="cellIs" dxfId="8462" priority="10440" operator="between">
      <formula>0.376</formula>
      <formula>0.475</formula>
    </cfRule>
    <cfRule type="cellIs" dxfId="8461" priority="10441" operator="between">
      <formula>0.2551</formula>
      <formula>0.3751</formula>
    </cfRule>
    <cfRule type="cellIs" dxfId="8460" priority="10442" operator="greaterThan">
      <formula>0.505</formula>
    </cfRule>
    <cfRule type="cellIs" dxfId="8459" priority="10443" operator="between">
      <formula>0.48</formula>
      <formula>0.5</formula>
    </cfRule>
    <cfRule type="cellIs" dxfId="8458" priority="10444" stopIfTrue="1" operator="between">
      <formula>0</formula>
      <formula>0.255</formula>
    </cfRule>
  </conditionalFormatting>
  <conditionalFormatting sqref="AA357">
    <cfRule type="cellIs" dxfId="8457" priority="10435" operator="between">
      <formula>0.56251</formula>
      <formula>0.7125</formula>
    </cfRule>
    <cfRule type="cellIs" dxfId="8456" priority="10436" operator="between">
      <formula>0.3751</formula>
      <formula>0.5625</formula>
    </cfRule>
    <cfRule type="cellIs" dxfId="8455" priority="10437" operator="greaterThan">
      <formula>0.751</formula>
    </cfRule>
    <cfRule type="cellIs" dxfId="8454" priority="10438" operator="between">
      <formula>0.71251</formula>
      <formula>0.75</formula>
    </cfRule>
    <cfRule type="cellIs" dxfId="8453" priority="10439" stopIfTrue="1" operator="between">
      <formula>0</formula>
      <formula>0.375</formula>
    </cfRule>
  </conditionalFormatting>
  <conditionalFormatting sqref="AB357">
    <cfRule type="cellIs" dxfId="8452" priority="10430" operator="between">
      <formula>0.56251</formula>
      <formula>0.7125</formula>
    </cfRule>
    <cfRule type="cellIs" dxfId="8451" priority="10431" operator="between">
      <formula>0.3751</formula>
      <formula>0.5625</formula>
    </cfRule>
    <cfRule type="cellIs" dxfId="8450" priority="10432" operator="greaterThan">
      <formula>0.751</formula>
    </cfRule>
    <cfRule type="cellIs" dxfId="8449" priority="10433" operator="between">
      <formula>0.71251</formula>
      <formula>0.75</formula>
    </cfRule>
    <cfRule type="cellIs" dxfId="8448" priority="10434" stopIfTrue="1" operator="between">
      <formula>0</formula>
      <formula>0.375</formula>
    </cfRule>
  </conditionalFormatting>
  <conditionalFormatting sqref="S357">
    <cfRule type="cellIs" dxfId="8447" priority="10398" operator="between">
      <formula>0.76</formula>
      <formula>0.95</formula>
    </cfRule>
    <cfRule type="cellIs" dxfId="8446" priority="10399" operator="between">
      <formula>0.51</formula>
      <formula>0.75</formula>
    </cfRule>
    <cfRule type="cellIs" dxfId="8445" priority="10400" operator="greaterThan">
      <formula>1</formula>
    </cfRule>
    <cfRule type="cellIs" dxfId="8444" priority="10401" operator="between">
      <formula>0.95</formula>
      <formula>1</formula>
    </cfRule>
    <cfRule type="cellIs" dxfId="8443" priority="10402" stopIfTrue="1" operator="between">
      <formula>0</formula>
      <formula>0.5</formula>
    </cfRule>
  </conditionalFormatting>
  <conditionalFormatting sqref="V357">
    <cfRule type="cellIs" dxfId="8442" priority="10393" operator="between">
      <formula>0.376</formula>
      <formula>0.475</formula>
    </cfRule>
    <cfRule type="cellIs" dxfId="8441" priority="10394" operator="between">
      <formula>0.2551</formula>
      <formula>0.3751</formula>
    </cfRule>
    <cfRule type="cellIs" dxfId="8440" priority="10395" operator="greaterThan">
      <formula>0.505</formula>
    </cfRule>
    <cfRule type="cellIs" dxfId="8439" priority="10396" operator="between">
      <formula>0.48</formula>
      <formula>0.5</formula>
    </cfRule>
    <cfRule type="cellIs" dxfId="8438" priority="10397" stopIfTrue="1" operator="between">
      <formula>0</formula>
      <formula>0.255</formula>
    </cfRule>
  </conditionalFormatting>
  <conditionalFormatting sqref="Z357">
    <cfRule type="cellIs" dxfId="8437" priority="10388" operator="between">
      <formula>0.76</formula>
      <formula>0.95</formula>
    </cfRule>
    <cfRule type="cellIs" dxfId="8436" priority="10389" operator="between">
      <formula>0.51</formula>
      <formula>0.75</formula>
    </cfRule>
    <cfRule type="cellIs" dxfId="8435" priority="10390" operator="greaterThan">
      <formula>1</formula>
    </cfRule>
    <cfRule type="cellIs" dxfId="8434" priority="10391" operator="between">
      <formula>0.95</formula>
      <formula>1</formula>
    </cfRule>
    <cfRule type="cellIs" dxfId="8433" priority="10392" stopIfTrue="1" operator="between">
      <formula>0</formula>
      <formula>0.5</formula>
    </cfRule>
  </conditionalFormatting>
  <conditionalFormatting sqref="AC357">
    <cfRule type="cellIs" dxfId="8432" priority="10383" operator="between">
      <formula>0.56251</formula>
      <formula>0.7125</formula>
    </cfRule>
    <cfRule type="cellIs" dxfId="8431" priority="10384" operator="between">
      <formula>0.3751</formula>
      <formula>0.5625</formula>
    </cfRule>
    <cfRule type="cellIs" dxfId="8430" priority="10385" operator="greaterThan">
      <formula>0.751</formula>
    </cfRule>
    <cfRule type="cellIs" dxfId="8429" priority="10386" operator="between">
      <formula>0.71251</formula>
      <formula>0.75</formula>
    </cfRule>
    <cfRule type="cellIs" dxfId="8428" priority="10387" stopIfTrue="1" operator="between">
      <formula>0</formula>
      <formula>0.375</formula>
    </cfRule>
  </conditionalFormatting>
  <conditionalFormatting sqref="AI358">
    <cfRule type="cellIs" dxfId="8427" priority="10378" operator="between">
      <formula>0.76</formula>
      <formula>0.95</formula>
    </cfRule>
    <cfRule type="cellIs" dxfId="8426" priority="10379" operator="between">
      <formula>0.51</formula>
      <formula>0.75</formula>
    </cfRule>
    <cfRule type="cellIs" dxfId="8425" priority="10380" operator="greaterThan">
      <formula>1</formula>
    </cfRule>
    <cfRule type="cellIs" dxfId="8424" priority="10381" operator="between">
      <formula>0.95</formula>
      <formula>1</formula>
    </cfRule>
    <cfRule type="cellIs" dxfId="8423" priority="10382" stopIfTrue="1" operator="between">
      <formula>0</formula>
      <formula>0.5</formula>
    </cfRule>
  </conditionalFormatting>
  <conditionalFormatting sqref="R358">
    <cfRule type="cellIs" dxfId="8422" priority="10368" operator="between">
      <formula>0.76</formula>
      <formula>0.95</formula>
    </cfRule>
    <cfRule type="cellIs" dxfId="8421" priority="10369" operator="between">
      <formula>0.51</formula>
      <formula>0.75</formula>
    </cfRule>
    <cfRule type="cellIs" dxfId="8420" priority="10370" operator="greaterThan">
      <formula>1</formula>
    </cfRule>
    <cfRule type="cellIs" dxfId="8419" priority="10371" operator="between">
      <formula>0.95</formula>
      <formula>1</formula>
    </cfRule>
    <cfRule type="cellIs" dxfId="8418" priority="10372" stopIfTrue="1" operator="between">
      <formula>0</formula>
      <formula>0.5</formula>
    </cfRule>
  </conditionalFormatting>
  <conditionalFormatting sqref="Y358">
    <cfRule type="cellIs" dxfId="8417" priority="10363" operator="between">
      <formula>0.76</formula>
      <formula>0.95</formula>
    </cfRule>
    <cfRule type="cellIs" dxfId="8416" priority="10364" operator="between">
      <formula>0.51</formula>
      <formula>0.75</formula>
    </cfRule>
    <cfRule type="cellIs" dxfId="8415" priority="10365" operator="greaterThan">
      <formula>1</formula>
    </cfRule>
    <cfRule type="cellIs" dxfId="8414" priority="10366" operator="between">
      <formula>0.95</formula>
      <formula>1</formula>
    </cfRule>
    <cfRule type="cellIs" dxfId="8413" priority="10367" stopIfTrue="1" operator="between">
      <formula>0</formula>
      <formula>0.5</formula>
    </cfRule>
  </conditionalFormatting>
  <conditionalFormatting sqref="AF358">
    <cfRule type="cellIs" dxfId="8412" priority="10358" operator="between">
      <formula>0.76</formula>
      <formula>0.95</formula>
    </cfRule>
    <cfRule type="cellIs" dxfId="8411" priority="10359" operator="between">
      <formula>0.51</formula>
      <formula>0.75</formula>
    </cfRule>
    <cfRule type="cellIs" dxfId="8410" priority="10360" operator="greaterThan">
      <formula>1</formula>
    </cfRule>
    <cfRule type="cellIs" dxfId="8409" priority="10361" operator="between">
      <formula>0.95</formula>
      <formula>1</formula>
    </cfRule>
    <cfRule type="cellIs" dxfId="8408" priority="10362" stopIfTrue="1" operator="between">
      <formula>0</formula>
      <formula>0.5</formula>
    </cfRule>
  </conditionalFormatting>
  <conditionalFormatting sqref="AH358">
    <cfRule type="cellIs" dxfId="8407" priority="10353" operator="between">
      <formula>0.76</formula>
      <formula>0.95</formula>
    </cfRule>
    <cfRule type="cellIs" dxfId="8406" priority="10354" operator="between">
      <formula>0.51</formula>
      <formula>0.75</formula>
    </cfRule>
    <cfRule type="cellIs" dxfId="8405" priority="10355" operator="greaterThan">
      <formula>1</formula>
    </cfRule>
    <cfRule type="cellIs" dxfId="8404" priority="10356" operator="between">
      <formula>0.95</formula>
      <formula>1</formula>
    </cfRule>
    <cfRule type="cellIs" dxfId="8403" priority="10357" stopIfTrue="1" operator="between">
      <formula>0</formula>
      <formula>0.5</formula>
    </cfRule>
  </conditionalFormatting>
  <conditionalFormatting sqref="T358">
    <cfRule type="cellIs" dxfId="8402" priority="10338" operator="between">
      <formula>0.3751</formula>
      <formula>0.475</formula>
    </cfRule>
    <cfRule type="cellIs" dxfId="8401" priority="10339" operator="between">
      <formula>0.2551</formula>
      <formula>0.375</formula>
    </cfRule>
    <cfRule type="cellIs" dxfId="8400" priority="10340" operator="greaterThan">
      <formula>0.505</formula>
    </cfRule>
    <cfRule type="cellIs" dxfId="8399" priority="10341" operator="between">
      <formula>0.48</formula>
      <formula>0.5</formula>
    </cfRule>
    <cfRule type="cellIs" dxfId="8398" priority="10342" stopIfTrue="1" operator="between">
      <formula>0</formula>
      <formula>0.255</formula>
    </cfRule>
  </conditionalFormatting>
  <conditionalFormatting sqref="U358">
    <cfRule type="cellIs" dxfId="8397" priority="10333" operator="between">
      <formula>0.376</formula>
      <formula>0.475</formula>
    </cfRule>
    <cfRule type="cellIs" dxfId="8396" priority="10334" operator="between">
      <formula>0.2551</formula>
      <formula>0.3751</formula>
    </cfRule>
    <cfRule type="cellIs" dxfId="8395" priority="10335" operator="greaterThan">
      <formula>0.505</formula>
    </cfRule>
    <cfRule type="cellIs" dxfId="8394" priority="10336" operator="between">
      <formula>0.48</formula>
      <formula>0.5</formula>
    </cfRule>
    <cfRule type="cellIs" dxfId="8393" priority="10337" stopIfTrue="1" operator="between">
      <formula>0</formula>
      <formula>0.255</formula>
    </cfRule>
  </conditionalFormatting>
  <conditionalFormatting sqref="AA358">
    <cfRule type="cellIs" dxfId="8392" priority="10328" operator="between">
      <formula>0.56251</formula>
      <formula>0.7125</formula>
    </cfRule>
    <cfRule type="cellIs" dxfId="8391" priority="10329" operator="between">
      <formula>0.3751</formula>
      <formula>0.5625</formula>
    </cfRule>
    <cfRule type="cellIs" dxfId="8390" priority="10330" operator="greaterThan">
      <formula>0.751</formula>
    </cfRule>
    <cfRule type="cellIs" dxfId="8389" priority="10331" operator="between">
      <formula>0.71251</formula>
      <formula>0.75</formula>
    </cfRule>
    <cfRule type="cellIs" dxfId="8388" priority="10332" stopIfTrue="1" operator="between">
      <formula>0</formula>
      <formula>0.375</formula>
    </cfRule>
  </conditionalFormatting>
  <conditionalFormatting sqref="AB358">
    <cfRule type="cellIs" dxfId="8387" priority="10323" operator="between">
      <formula>0.56251</formula>
      <formula>0.7125</formula>
    </cfRule>
    <cfRule type="cellIs" dxfId="8386" priority="10324" operator="between">
      <formula>0.3751</formula>
      <formula>0.5625</formula>
    </cfRule>
    <cfRule type="cellIs" dxfId="8385" priority="10325" operator="greaterThan">
      <formula>0.751</formula>
    </cfRule>
    <cfRule type="cellIs" dxfId="8384" priority="10326" operator="between">
      <formula>0.71251</formula>
      <formula>0.75</formula>
    </cfRule>
    <cfRule type="cellIs" dxfId="8383" priority="10327" stopIfTrue="1" operator="between">
      <formula>0</formula>
      <formula>0.375</formula>
    </cfRule>
  </conditionalFormatting>
  <conditionalFormatting sqref="S358">
    <cfRule type="cellIs" dxfId="8382" priority="10291" operator="between">
      <formula>0.76</formula>
      <formula>0.95</formula>
    </cfRule>
    <cfRule type="cellIs" dxfId="8381" priority="10292" operator="between">
      <formula>0.51</formula>
      <formula>0.75</formula>
    </cfRule>
    <cfRule type="cellIs" dxfId="8380" priority="10293" operator="greaterThan">
      <formula>1</formula>
    </cfRule>
    <cfRule type="cellIs" dxfId="8379" priority="10294" operator="between">
      <formula>0.95</formula>
      <formula>1</formula>
    </cfRule>
    <cfRule type="cellIs" dxfId="8378" priority="10295" stopIfTrue="1" operator="between">
      <formula>0</formula>
      <formula>0.5</formula>
    </cfRule>
  </conditionalFormatting>
  <conditionalFormatting sqref="V358">
    <cfRule type="cellIs" dxfId="8377" priority="10286" operator="between">
      <formula>0.376</formula>
      <formula>0.475</formula>
    </cfRule>
    <cfRule type="cellIs" dxfId="8376" priority="10287" operator="between">
      <formula>0.2551</formula>
      <formula>0.3751</formula>
    </cfRule>
    <cfRule type="cellIs" dxfId="8375" priority="10288" operator="greaterThan">
      <formula>0.505</formula>
    </cfRule>
    <cfRule type="cellIs" dxfId="8374" priority="10289" operator="between">
      <formula>0.48</formula>
      <formula>0.5</formula>
    </cfRule>
    <cfRule type="cellIs" dxfId="8373" priority="10290" stopIfTrue="1" operator="between">
      <formula>0</formula>
      <formula>0.255</formula>
    </cfRule>
  </conditionalFormatting>
  <conditionalFormatting sqref="S202:S203">
    <cfRule type="cellIs" dxfId="8372" priority="9502" operator="between">
      <formula>0.76</formula>
      <formula>0.95</formula>
    </cfRule>
    <cfRule type="cellIs" dxfId="8371" priority="9503" operator="between">
      <formula>0.51</formula>
      <formula>0.75</formula>
    </cfRule>
    <cfRule type="cellIs" dxfId="8370" priority="9504" operator="greaterThan">
      <formula>1</formula>
    </cfRule>
    <cfRule type="cellIs" dxfId="8369" priority="9505" operator="between">
      <formula>0.95</formula>
      <formula>1</formula>
    </cfRule>
    <cfRule type="cellIs" dxfId="8368" priority="9506" stopIfTrue="1" operator="between">
      <formula>0</formula>
      <formula>0.5</formula>
    </cfRule>
  </conditionalFormatting>
  <conditionalFormatting sqref="AC358">
    <cfRule type="cellIs" dxfId="8367" priority="10276" operator="between">
      <formula>0.56251</formula>
      <formula>0.7125</formula>
    </cfRule>
    <cfRule type="cellIs" dxfId="8366" priority="10277" operator="between">
      <formula>0.3751</formula>
      <formula>0.5625</formula>
    </cfRule>
    <cfRule type="cellIs" dxfId="8365" priority="10278" operator="greaterThan">
      <formula>0.751</formula>
    </cfRule>
    <cfRule type="cellIs" dxfId="8364" priority="10279" operator="between">
      <formula>0.71251</formula>
      <formula>0.75</formula>
    </cfRule>
    <cfRule type="cellIs" dxfId="8363" priority="10280" stopIfTrue="1" operator="between">
      <formula>0</formula>
      <formula>0.375</formula>
    </cfRule>
  </conditionalFormatting>
  <conditionalFormatting sqref="Z358">
    <cfRule type="cellIs" dxfId="8362" priority="10261" operator="between">
      <formula>0.76</formula>
      <formula>0.95</formula>
    </cfRule>
    <cfRule type="cellIs" dxfId="8361" priority="10262" operator="between">
      <formula>0.51</formula>
      <formula>0.75</formula>
    </cfRule>
    <cfRule type="cellIs" dxfId="8360" priority="10263" operator="greaterThan">
      <formula>1</formula>
    </cfRule>
    <cfRule type="cellIs" dxfId="8359" priority="10264" operator="between">
      <formula>0.95</formula>
      <formula>1</formula>
    </cfRule>
    <cfRule type="cellIs" dxfId="8358" priority="10265" stopIfTrue="1" operator="between">
      <formula>0</formula>
      <formula>0.5</formula>
    </cfRule>
  </conditionalFormatting>
  <conditionalFormatting sqref="AG358">
    <cfRule type="cellIs" dxfId="8357" priority="10256" operator="between">
      <formula>0.76</formula>
      <formula>0.95</formula>
    </cfRule>
    <cfRule type="cellIs" dxfId="8356" priority="10257" operator="between">
      <formula>0.51</formula>
      <formula>0.75</formula>
    </cfRule>
    <cfRule type="cellIs" dxfId="8355" priority="10258" operator="greaterThan">
      <formula>1</formula>
    </cfRule>
    <cfRule type="cellIs" dxfId="8354" priority="10259" operator="between">
      <formula>0.95</formula>
      <formula>1</formula>
    </cfRule>
    <cfRule type="cellIs" dxfId="8353" priority="10260" stopIfTrue="1" operator="between">
      <formula>0</formula>
      <formula>0.5</formula>
    </cfRule>
  </conditionalFormatting>
  <conditionalFormatting sqref="AI359 AI361">
    <cfRule type="cellIs" dxfId="8352" priority="10251" operator="between">
      <formula>0.76</formula>
      <formula>0.95</formula>
    </cfRule>
    <cfRule type="cellIs" dxfId="8351" priority="10252" operator="between">
      <formula>0.51</formula>
      <formula>0.75</formula>
    </cfRule>
    <cfRule type="cellIs" dxfId="8350" priority="10253" operator="greaterThan">
      <formula>1</formula>
    </cfRule>
    <cfRule type="cellIs" dxfId="8349" priority="10254" operator="between">
      <formula>0.95</formula>
      <formula>1</formula>
    </cfRule>
    <cfRule type="cellIs" dxfId="8348" priority="10255" stopIfTrue="1" operator="between">
      <formula>0</formula>
      <formula>0.5</formula>
    </cfRule>
  </conditionalFormatting>
  <conditionalFormatting sqref="R359 R361">
    <cfRule type="cellIs" dxfId="8347" priority="10241" operator="between">
      <formula>0.76</formula>
      <formula>0.95</formula>
    </cfRule>
    <cfRule type="cellIs" dxfId="8346" priority="10242" operator="between">
      <formula>0.51</formula>
      <formula>0.75</formula>
    </cfRule>
    <cfRule type="cellIs" dxfId="8345" priority="10243" operator="greaterThan">
      <formula>1</formula>
    </cfRule>
    <cfRule type="cellIs" dxfId="8344" priority="10244" operator="between">
      <formula>0.95</formula>
      <formula>1</formula>
    </cfRule>
    <cfRule type="cellIs" dxfId="8343" priority="10245" stopIfTrue="1" operator="between">
      <formula>0</formula>
      <formula>0.5</formula>
    </cfRule>
  </conditionalFormatting>
  <conditionalFormatting sqref="Y359 Y361">
    <cfRule type="cellIs" dxfId="8342" priority="10236" operator="between">
      <formula>0.76</formula>
      <formula>0.95</formula>
    </cfRule>
    <cfRule type="cellIs" dxfId="8341" priority="10237" operator="between">
      <formula>0.51</formula>
      <formula>0.75</formula>
    </cfRule>
    <cfRule type="cellIs" dxfId="8340" priority="10238" operator="greaterThan">
      <formula>1</formula>
    </cfRule>
    <cfRule type="cellIs" dxfId="8339" priority="10239" operator="between">
      <formula>0.95</formula>
      <formula>1</formula>
    </cfRule>
    <cfRule type="cellIs" dxfId="8338" priority="10240" stopIfTrue="1" operator="between">
      <formula>0</formula>
      <formula>0.5</formula>
    </cfRule>
  </conditionalFormatting>
  <conditionalFormatting sqref="AF359 AF361">
    <cfRule type="cellIs" dxfId="8337" priority="10231" operator="between">
      <formula>0.76</formula>
      <formula>0.95</formula>
    </cfRule>
    <cfRule type="cellIs" dxfId="8336" priority="10232" operator="between">
      <formula>0.51</formula>
      <formula>0.75</formula>
    </cfRule>
    <cfRule type="cellIs" dxfId="8335" priority="10233" operator="greaterThan">
      <formula>1</formula>
    </cfRule>
    <cfRule type="cellIs" dxfId="8334" priority="10234" operator="between">
      <formula>0.95</formula>
      <formula>1</formula>
    </cfRule>
    <cfRule type="cellIs" dxfId="8333" priority="10235" stopIfTrue="1" operator="between">
      <formula>0</formula>
      <formula>0.5</formula>
    </cfRule>
  </conditionalFormatting>
  <conditionalFormatting sqref="AH359 AH361">
    <cfRule type="cellIs" dxfId="8332" priority="10226" operator="between">
      <formula>0.76</formula>
      <formula>0.95</formula>
    </cfRule>
    <cfRule type="cellIs" dxfId="8331" priority="10227" operator="between">
      <formula>0.51</formula>
      <formula>0.75</formula>
    </cfRule>
    <cfRule type="cellIs" dxfId="8330" priority="10228" operator="greaterThan">
      <formula>1</formula>
    </cfRule>
    <cfRule type="cellIs" dxfId="8329" priority="10229" operator="between">
      <formula>0.95</formula>
      <formula>1</formula>
    </cfRule>
    <cfRule type="cellIs" dxfId="8328" priority="10230" stopIfTrue="1" operator="between">
      <formula>0</formula>
      <formula>0.5</formula>
    </cfRule>
  </conditionalFormatting>
  <conditionalFormatting sqref="T359 T361">
    <cfRule type="cellIs" dxfId="8327" priority="10211" operator="between">
      <formula>0.3751</formula>
      <formula>0.475</formula>
    </cfRule>
    <cfRule type="cellIs" dxfId="8326" priority="10212" operator="between">
      <formula>0.2551</formula>
      <formula>0.375</formula>
    </cfRule>
    <cfRule type="cellIs" dxfId="8325" priority="10213" operator="greaterThan">
      <formula>0.505</formula>
    </cfRule>
    <cfRule type="cellIs" dxfId="8324" priority="10214" operator="between">
      <formula>0.48</formula>
      <formula>0.5</formula>
    </cfRule>
    <cfRule type="cellIs" dxfId="8323" priority="10215" stopIfTrue="1" operator="between">
      <formula>0</formula>
      <formula>0.255</formula>
    </cfRule>
  </conditionalFormatting>
  <conditionalFormatting sqref="U359 U361">
    <cfRule type="cellIs" dxfId="8322" priority="10206" operator="between">
      <formula>0.376</formula>
      <formula>0.475</formula>
    </cfRule>
    <cfRule type="cellIs" dxfId="8321" priority="10207" operator="between">
      <formula>0.2551</formula>
      <formula>0.3751</formula>
    </cfRule>
    <cfRule type="cellIs" dxfId="8320" priority="10208" operator="greaterThan">
      <formula>0.505</formula>
    </cfRule>
    <cfRule type="cellIs" dxfId="8319" priority="10209" operator="between">
      <formula>0.48</formula>
      <formula>0.5</formula>
    </cfRule>
    <cfRule type="cellIs" dxfId="8318" priority="10210" stopIfTrue="1" operator="between">
      <formula>0</formula>
      <formula>0.255</formula>
    </cfRule>
  </conditionalFormatting>
  <conditionalFormatting sqref="AA359 AA361">
    <cfRule type="cellIs" dxfId="8317" priority="10201" operator="between">
      <formula>0.56251</formula>
      <formula>0.7125</formula>
    </cfRule>
    <cfRule type="cellIs" dxfId="8316" priority="10202" operator="between">
      <formula>0.3751</formula>
      <formula>0.5625</formula>
    </cfRule>
    <cfRule type="cellIs" dxfId="8315" priority="10203" operator="greaterThan">
      <formula>0.751</formula>
    </cfRule>
    <cfRule type="cellIs" dxfId="8314" priority="10204" operator="between">
      <formula>0.71251</formula>
      <formula>0.75</formula>
    </cfRule>
    <cfRule type="cellIs" dxfId="8313" priority="10205" stopIfTrue="1" operator="between">
      <formula>0</formula>
      <formula>0.375</formula>
    </cfRule>
  </conditionalFormatting>
  <conditionalFormatting sqref="AB359 AB361">
    <cfRule type="cellIs" dxfId="8312" priority="10196" operator="between">
      <formula>0.56251</formula>
      <formula>0.7125</formula>
    </cfRule>
    <cfRule type="cellIs" dxfId="8311" priority="10197" operator="between">
      <formula>0.3751</formula>
      <formula>0.5625</formula>
    </cfRule>
    <cfRule type="cellIs" dxfId="8310" priority="10198" operator="greaterThan">
      <formula>0.751</formula>
    </cfRule>
    <cfRule type="cellIs" dxfId="8309" priority="10199" operator="between">
      <formula>0.71251</formula>
      <formula>0.75</formula>
    </cfRule>
    <cfRule type="cellIs" dxfId="8308" priority="10200" stopIfTrue="1" operator="between">
      <formula>0</formula>
      <formula>0.375</formula>
    </cfRule>
  </conditionalFormatting>
  <conditionalFormatting sqref="S359 S361">
    <cfRule type="cellIs" dxfId="8307" priority="10179" operator="between">
      <formula>0.76</formula>
      <formula>0.95</formula>
    </cfRule>
    <cfRule type="cellIs" dxfId="8306" priority="10180" operator="between">
      <formula>0.51</formula>
      <formula>0.75</formula>
    </cfRule>
    <cfRule type="cellIs" dxfId="8305" priority="10181" operator="greaterThan">
      <formula>1</formula>
    </cfRule>
    <cfRule type="cellIs" dxfId="8304" priority="10182" operator="between">
      <formula>0.95</formula>
      <formula>1</formula>
    </cfRule>
    <cfRule type="cellIs" dxfId="8303" priority="10183" stopIfTrue="1" operator="between">
      <formula>0</formula>
      <formula>0.5</formula>
    </cfRule>
  </conditionalFormatting>
  <conditionalFormatting sqref="V359 V361">
    <cfRule type="cellIs" dxfId="8302" priority="10174" operator="between">
      <formula>0.376</formula>
      <formula>0.475</formula>
    </cfRule>
    <cfRule type="cellIs" dxfId="8301" priority="10175" operator="between">
      <formula>0.2551</formula>
      <formula>0.3751</formula>
    </cfRule>
    <cfRule type="cellIs" dxfId="8300" priority="10176" operator="greaterThan">
      <formula>0.505</formula>
    </cfRule>
    <cfRule type="cellIs" dxfId="8299" priority="10177" operator="between">
      <formula>0.48</formula>
      <formula>0.5</formula>
    </cfRule>
    <cfRule type="cellIs" dxfId="8298" priority="10178" stopIfTrue="1" operator="between">
      <formula>0</formula>
      <formula>0.255</formula>
    </cfRule>
  </conditionalFormatting>
  <conditionalFormatting sqref="AC359 AC361">
    <cfRule type="cellIs" dxfId="8297" priority="10169" operator="between">
      <formula>0.56251</formula>
      <formula>0.7125</formula>
    </cfRule>
    <cfRule type="cellIs" dxfId="8296" priority="10170" operator="between">
      <formula>0.3751</formula>
      <formula>0.5625</formula>
    </cfRule>
    <cfRule type="cellIs" dxfId="8295" priority="10171" operator="greaterThan">
      <formula>0.751</formula>
    </cfRule>
    <cfRule type="cellIs" dxfId="8294" priority="10172" operator="between">
      <formula>0.71251</formula>
      <formula>0.75</formula>
    </cfRule>
    <cfRule type="cellIs" dxfId="8293" priority="10173" stopIfTrue="1" operator="between">
      <formula>0</formula>
      <formula>0.375</formula>
    </cfRule>
  </conditionalFormatting>
  <conditionalFormatting sqref="Z359 Z361">
    <cfRule type="cellIs" dxfId="8292" priority="10154" operator="between">
      <formula>0.76</formula>
      <formula>0.95</formula>
    </cfRule>
    <cfRule type="cellIs" dxfId="8291" priority="10155" operator="between">
      <formula>0.51</formula>
      <formula>0.75</formula>
    </cfRule>
    <cfRule type="cellIs" dxfId="8290" priority="10156" operator="greaterThan">
      <formula>1</formula>
    </cfRule>
    <cfRule type="cellIs" dxfId="8289" priority="10157" operator="between">
      <formula>0.95</formula>
      <formula>1</formula>
    </cfRule>
    <cfRule type="cellIs" dxfId="8288" priority="10158" stopIfTrue="1" operator="between">
      <formula>0</formula>
      <formula>0.5</formula>
    </cfRule>
  </conditionalFormatting>
  <conditionalFormatting sqref="AG359 AG361">
    <cfRule type="cellIs" dxfId="8287" priority="10149" operator="between">
      <formula>0.76</formula>
      <formula>0.95</formula>
    </cfRule>
    <cfRule type="cellIs" dxfId="8286" priority="10150" operator="between">
      <formula>0.51</formula>
      <formula>0.75</formula>
    </cfRule>
    <cfRule type="cellIs" dxfId="8285" priority="10151" operator="greaterThan">
      <formula>1</formula>
    </cfRule>
    <cfRule type="cellIs" dxfId="8284" priority="10152" operator="between">
      <formula>0.95</formula>
      <formula>1</formula>
    </cfRule>
    <cfRule type="cellIs" dxfId="8283" priority="10153" stopIfTrue="1" operator="between">
      <formula>0</formula>
      <formula>0.5</formula>
    </cfRule>
  </conditionalFormatting>
  <conditionalFormatting sqref="Y301 AF301 R301 AH301:AI301">
    <cfRule type="cellIs" dxfId="8282" priority="10144" operator="between">
      <formula>0.76</formula>
      <formula>0.95</formula>
    </cfRule>
    <cfRule type="cellIs" dxfId="8281" priority="10145" operator="between">
      <formula>0.51</formula>
      <formula>0.75</formula>
    </cfRule>
    <cfRule type="cellIs" dxfId="8280" priority="10146" operator="greaterThan">
      <formula>1</formula>
    </cfRule>
    <cfRule type="cellIs" dxfId="8279" priority="10147" operator="between">
      <formula>0.95</formula>
      <formula>1</formula>
    </cfRule>
    <cfRule type="cellIs" dxfId="8278" priority="10148" stopIfTrue="1" operator="between">
      <formula>0</formula>
      <formula>0.5</formula>
    </cfRule>
  </conditionalFormatting>
  <conditionalFormatting sqref="T301">
    <cfRule type="cellIs" dxfId="8277" priority="10139" operator="between">
      <formula>0.3751</formula>
      <formula>0.475</formula>
    </cfRule>
    <cfRule type="cellIs" dxfId="8276" priority="10140" operator="between">
      <formula>0.2551</formula>
      <formula>0.375</formula>
    </cfRule>
    <cfRule type="cellIs" dxfId="8275" priority="10141" operator="greaterThan">
      <formula>0.505</formula>
    </cfRule>
    <cfRule type="cellIs" dxfId="8274" priority="10142" operator="between">
      <formula>0.48</formula>
      <formula>0.5</formula>
    </cfRule>
    <cfRule type="cellIs" dxfId="8273" priority="10143" stopIfTrue="1" operator="between">
      <formula>0</formula>
      <formula>0.255</formula>
    </cfRule>
  </conditionalFormatting>
  <conditionalFormatting sqref="AA301:AB301">
    <cfRule type="cellIs" dxfId="8272" priority="10134" operator="between">
      <formula>0.56251</formula>
      <formula>0.7125</formula>
    </cfRule>
    <cfRule type="cellIs" dxfId="8271" priority="10135" operator="between">
      <formula>0.3751</formula>
      <formula>0.5625</formula>
    </cfRule>
    <cfRule type="cellIs" dxfId="8270" priority="10136" operator="greaterThan">
      <formula>0.751</formula>
    </cfRule>
    <cfRule type="cellIs" dxfId="8269" priority="10137" operator="between">
      <formula>0.71251</formula>
      <formula>0.75</formula>
    </cfRule>
    <cfRule type="cellIs" dxfId="8268" priority="10138" stopIfTrue="1" operator="between">
      <formula>0</formula>
      <formula>0.375</formula>
    </cfRule>
  </conditionalFormatting>
  <conditionalFormatting sqref="U301">
    <cfRule type="cellIs" dxfId="8267" priority="10124" operator="between">
      <formula>0.376</formula>
      <formula>0.475</formula>
    </cfRule>
    <cfRule type="cellIs" dxfId="8266" priority="10125" operator="between">
      <formula>0.2551</formula>
      <formula>0.3751</formula>
    </cfRule>
    <cfRule type="cellIs" dxfId="8265" priority="10126" operator="greaterThan">
      <formula>0.505</formula>
    </cfRule>
    <cfRule type="cellIs" dxfId="8264" priority="10127" operator="between">
      <formula>0.48</formula>
      <formula>0.5</formula>
    </cfRule>
    <cfRule type="cellIs" dxfId="8263" priority="10128" stopIfTrue="1" operator="between">
      <formula>0</formula>
      <formula>0.255</formula>
    </cfRule>
  </conditionalFormatting>
  <conditionalFormatting sqref="AG301">
    <cfRule type="cellIs" dxfId="8262" priority="10106" operator="between">
      <formula>0.76</formula>
      <formula>0.95</formula>
    </cfRule>
    <cfRule type="cellIs" dxfId="8261" priority="10107" operator="between">
      <formula>0.51</formula>
      <formula>0.75</formula>
    </cfRule>
    <cfRule type="cellIs" dxfId="8260" priority="10108" operator="greaterThan">
      <formula>1</formula>
    </cfRule>
    <cfRule type="cellIs" dxfId="8259" priority="10109" operator="between">
      <formula>0.95</formula>
      <formula>1</formula>
    </cfRule>
    <cfRule type="cellIs" dxfId="8258" priority="10110" stopIfTrue="1" operator="between">
      <formula>0</formula>
      <formula>0.5</formula>
    </cfRule>
  </conditionalFormatting>
  <conditionalFormatting sqref="S301">
    <cfRule type="cellIs" dxfId="8257" priority="10101" operator="between">
      <formula>0.76</formula>
      <formula>0.95</formula>
    </cfRule>
    <cfRule type="cellIs" dxfId="8256" priority="10102" operator="between">
      <formula>0.51</formula>
      <formula>0.75</formula>
    </cfRule>
    <cfRule type="cellIs" dxfId="8255" priority="10103" operator="greaterThan">
      <formula>1</formula>
    </cfRule>
    <cfRule type="cellIs" dxfId="8254" priority="10104" operator="between">
      <formula>0.95</formula>
      <formula>1</formula>
    </cfRule>
    <cfRule type="cellIs" dxfId="8253" priority="10105" stopIfTrue="1" operator="between">
      <formula>0</formula>
      <formula>0.5</formula>
    </cfRule>
  </conditionalFormatting>
  <conditionalFormatting sqref="V301">
    <cfRule type="cellIs" dxfId="8252" priority="10096" operator="between">
      <formula>0.376</formula>
      <formula>0.475</formula>
    </cfRule>
    <cfRule type="cellIs" dxfId="8251" priority="10097" operator="between">
      <formula>0.2551</formula>
      <formula>0.3751</formula>
    </cfRule>
    <cfRule type="cellIs" dxfId="8250" priority="10098" operator="greaterThan">
      <formula>0.505</formula>
    </cfRule>
    <cfRule type="cellIs" dxfId="8249" priority="10099" operator="between">
      <formula>0.48</formula>
      <formula>0.5</formula>
    </cfRule>
    <cfRule type="cellIs" dxfId="8248" priority="10100" stopIfTrue="1" operator="between">
      <formula>0</formula>
      <formula>0.255</formula>
    </cfRule>
  </conditionalFormatting>
  <conditionalFormatting sqref="Z301">
    <cfRule type="cellIs" dxfId="8247" priority="10091" operator="between">
      <formula>0.76</formula>
      <formula>0.95</formula>
    </cfRule>
    <cfRule type="cellIs" dxfId="8246" priority="10092" operator="between">
      <formula>0.51</formula>
      <formula>0.75</formula>
    </cfRule>
    <cfRule type="cellIs" dxfId="8245" priority="10093" operator="greaterThan">
      <formula>1</formula>
    </cfRule>
    <cfRule type="cellIs" dxfId="8244" priority="10094" operator="between">
      <formula>0.95</formula>
      <formula>1</formula>
    </cfRule>
    <cfRule type="cellIs" dxfId="8243" priority="10095" stopIfTrue="1" operator="between">
      <formula>0</formula>
      <formula>0.5</formula>
    </cfRule>
  </conditionalFormatting>
  <conditionalFormatting sqref="AC301">
    <cfRule type="cellIs" dxfId="8242" priority="10086" operator="between">
      <formula>0.56251</formula>
      <formula>0.7125</formula>
    </cfRule>
    <cfRule type="cellIs" dxfId="8241" priority="10087" operator="between">
      <formula>0.3751</formula>
      <formula>0.5625</formula>
    </cfRule>
    <cfRule type="cellIs" dxfId="8240" priority="10088" operator="greaterThan">
      <formula>0.751</formula>
    </cfRule>
    <cfRule type="cellIs" dxfId="8239" priority="10089" operator="between">
      <formula>0.71251</formula>
      <formula>0.75</formula>
    </cfRule>
    <cfRule type="cellIs" dxfId="8238" priority="10090" stopIfTrue="1" operator="between">
      <formula>0</formula>
      <formula>0.375</formula>
    </cfRule>
  </conditionalFormatting>
  <conditionalFormatting sqref="AG300">
    <cfRule type="cellIs" dxfId="8237" priority="10081" operator="between">
      <formula>0.76</formula>
      <formula>0.95</formula>
    </cfRule>
    <cfRule type="cellIs" dxfId="8236" priority="10082" operator="between">
      <formula>0.51</formula>
      <formula>0.75</formula>
    </cfRule>
    <cfRule type="cellIs" dxfId="8235" priority="10083" operator="greaterThan">
      <formula>1</formula>
    </cfRule>
    <cfRule type="cellIs" dxfId="8234" priority="10084" operator="between">
      <formula>0.95</formula>
      <formula>1</formula>
    </cfRule>
    <cfRule type="cellIs" dxfId="8233" priority="10085" stopIfTrue="1" operator="between">
      <formula>0</formula>
      <formula>0.5</formula>
    </cfRule>
  </conditionalFormatting>
  <conditionalFormatting sqref="R199 Y199 AF199 AH199:AI199">
    <cfRule type="cellIs" dxfId="8232" priority="10076" operator="between">
      <formula>0.76</formula>
      <formula>0.95</formula>
    </cfRule>
    <cfRule type="cellIs" dxfId="8231" priority="10077" operator="between">
      <formula>0.51</formula>
      <formula>0.75</formula>
    </cfRule>
    <cfRule type="cellIs" dxfId="8230" priority="10078" operator="greaterThan">
      <formula>1</formula>
    </cfRule>
    <cfRule type="cellIs" dxfId="8229" priority="10079" operator="between">
      <formula>0.95</formula>
      <formula>1</formula>
    </cfRule>
    <cfRule type="cellIs" dxfId="8228" priority="10080" stopIfTrue="1" operator="between">
      <formula>0</formula>
      <formula>0.5</formula>
    </cfRule>
  </conditionalFormatting>
  <conditionalFormatting sqref="T199">
    <cfRule type="cellIs" dxfId="8227" priority="10071" operator="between">
      <formula>0.3751</formula>
      <formula>0.475</formula>
    </cfRule>
    <cfRule type="cellIs" dxfId="8226" priority="10072" operator="between">
      <formula>0.2551</formula>
      <formula>0.375</formula>
    </cfRule>
    <cfRule type="cellIs" dxfId="8225" priority="10073" operator="greaterThan">
      <formula>0.505</formula>
    </cfRule>
    <cfRule type="cellIs" dxfId="8224" priority="10074" operator="between">
      <formula>0.48</formula>
      <formula>0.5</formula>
    </cfRule>
    <cfRule type="cellIs" dxfId="8223" priority="10075" stopIfTrue="1" operator="between">
      <formula>0</formula>
      <formula>0.255</formula>
    </cfRule>
  </conditionalFormatting>
  <conditionalFormatting sqref="U199">
    <cfRule type="cellIs" dxfId="8222" priority="10056" operator="between">
      <formula>0.376</formula>
      <formula>0.475</formula>
    </cfRule>
    <cfRule type="cellIs" dxfId="8221" priority="10057" operator="between">
      <formula>0.2551</formula>
      <formula>0.3751</formula>
    </cfRule>
    <cfRule type="cellIs" dxfId="8220" priority="10058" operator="greaterThan">
      <formula>0.505</formula>
    </cfRule>
    <cfRule type="cellIs" dxfId="8219" priority="10059" operator="between">
      <formula>0.48</formula>
      <formula>0.5</formula>
    </cfRule>
    <cfRule type="cellIs" dxfId="8218" priority="10060" stopIfTrue="1" operator="between">
      <formula>0</formula>
      <formula>0.255</formula>
    </cfRule>
  </conditionalFormatting>
  <conditionalFormatting sqref="AG199">
    <cfRule type="cellIs" dxfId="8217" priority="10048" operator="between">
      <formula>0.76</formula>
      <formula>0.95</formula>
    </cfRule>
    <cfRule type="cellIs" dxfId="8216" priority="10049" operator="between">
      <formula>0.51</formula>
      <formula>0.75</formula>
    </cfRule>
    <cfRule type="cellIs" dxfId="8215" priority="10050" operator="greaterThan">
      <formula>1</formula>
    </cfRule>
    <cfRule type="cellIs" dxfId="8214" priority="10051" operator="between">
      <formula>0.95</formula>
      <formula>1</formula>
    </cfRule>
    <cfRule type="cellIs" dxfId="8213" priority="10052" stopIfTrue="1" operator="between">
      <formula>0</formula>
      <formula>0.5</formula>
    </cfRule>
  </conditionalFormatting>
  <conditionalFormatting sqref="Z199">
    <cfRule type="cellIs" dxfId="8212" priority="10043" operator="between">
      <formula>0.76</formula>
      <formula>0.95</formula>
    </cfRule>
    <cfRule type="cellIs" dxfId="8211" priority="10044" operator="between">
      <formula>0.51</formula>
      <formula>0.75</formula>
    </cfRule>
    <cfRule type="cellIs" dxfId="8210" priority="10045" operator="greaterThan">
      <formula>1</formula>
    </cfRule>
    <cfRule type="cellIs" dxfId="8209" priority="10046" operator="between">
      <formula>0.95</formula>
      <formula>1</formula>
    </cfRule>
    <cfRule type="cellIs" dxfId="8208" priority="10047" stopIfTrue="1" operator="between">
      <formula>0</formula>
      <formula>0.5</formula>
    </cfRule>
  </conditionalFormatting>
  <conditionalFormatting sqref="V199">
    <cfRule type="cellIs" dxfId="8207" priority="10028" operator="between">
      <formula>0.376</formula>
      <formula>0.475</formula>
    </cfRule>
    <cfRule type="cellIs" dxfId="8206" priority="10029" operator="between">
      <formula>0.2551</formula>
      <formula>0.3751</formula>
    </cfRule>
    <cfRule type="cellIs" dxfId="8205" priority="10030" operator="greaterThan">
      <formula>0.505</formula>
    </cfRule>
    <cfRule type="cellIs" dxfId="8204" priority="10031" operator="between">
      <formula>0.48</formula>
      <formula>0.5</formula>
    </cfRule>
    <cfRule type="cellIs" dxfId="8203" priority="10032" stopIfTrue="1" operator="between">
      <formula>0</formula>
      <formula>0.255</formula>
    </cfRule>
  </conditionalFormatting>
  <conditionalFormatting sqref="S199">
    <cfRule type="cellIs" dxfId="8202" priority="10008" operator="between">
      <formula>0.76</formula>
      <formula>0.95</formula>
    </cfRule>
    <cfRule type="cellIs" dxfId="8201" priority="10009" operator="between">
      <formula>0.51</formula>
      <formula>0.75</formula>
    </cfRule>
    <cfRule type="cellIs" dxfId="8200" priority="10010" operator="greaterThan">
      <formula>1</formula>
    </cfRule>
    <cfRule type="cellIs" dxfId="8199" priority="10011" operator="between">
      <formula>0.95</formula>
      <formula>1</formula>
    </cfRule>
    <cfRule type="cellIs" dxfId="8198" priority="10012" stopIfTrue="1" operator="between">
      <formula>0</formula>
      <formula>0.5</formula>
    </cfRule>
  </conditionalFormatting>
  <conditionalFormatting sqref="AI362">
    <cfRule type="cellIs" dxfId="8197" priority="10003" operator="between">
      <formula>0.76</formula>
      <formula>0.95</formula>
    </cfRule>
    <cfRule type="cellIs" dxfId="8196" priority="10004" operator="between">
      <formula>0.51</formula>
      <formula>0.75</formula>
    </cfRule>
    <cfRule type="cellIs" dxfId="8195" priority="10005" operator="greaterThan">
      <formula>1</formula>
    </cfRule>
    <cfRule type="cellIs" dxfId="8194" priority="10006" operator="between">
      <formula>0.95</formula>
      <formula>1</formula>
    </cfRule>
    <cfRule type="cellIs" dxfId="8193" priority="10007" stopIfTrue="1" operator="between">
      <formula>0</formula>
      <formula>0.5</formula>
    </cfRule>
  </conditionalFormatting>
  <conditionalFormatting sqref="R362">
    <cfRule type="cellIs" dxfId="8192" priority="9993" operator="between">
      <formula>0.76</formula>
      <formula>0.95</formula>
    </cfRule>
    <cfRule type="cellIs" dxfId="8191" priority="9994" operator="between">
      <formula>0.51</formula>
      <formula>0.75</formula>
    </cfRule>
    <cfRule type="cellIs" dxfId="8190" priority="9995" operator="greaterThan">
      <formula>1</formula>
    </cfRule>
    <cfRule type="cellIs" dxfId="8189" priority="9996" operator="between">
      <formula>0.95</formula>
      <formula>1</formula>
    </cfRule>
    <cfRule type="cellIs" dxfId="8188" priority="9997" stopIfTrue="1" operator="between">
      <formula>0</formula>
      <formula>0.5</formula>
    </cfRule>
  </conditionalFormatting>
  <conditionalFormatting sqref="Y362">
    <cfRule type="cellIs" dxfId="8187" priority="9988" operator="between">
      <formula>0.76</formula>
      <formula>0.95</formula>
    </cfRule>
    <cfRule type="cellIs" dxfId="8186" priority="9989" operator="between">
      <formula>0.51</formula>
      <formula>0.75</formula>
    </cfRule>
    <cfRule type="cellIs" dxfId="8185" priority="9990" operator="greaterThan">
      <formula>1</formula>
    </cfRule>
    <cfRule type="cellIs" dxfId="8184" priority="9991" operator="between">
      <formula>0.95</formula>
      <formula>1</formula>
    </cfRule>
    <cfRule type="cellIs" dxfId="8183" priority="9992" stopIfTrue="1" operator="between">
      <formula>0</formula>
      <formula>0.5</formula>
    </cfRule>
  </conditionalFormatting>
  <conditionalFormatting sqref="AF362">
    <cfRule type="cellIs" dxfId="8182" priority="9983" operator="between">
      <formula>0.76</formula>
      <formula>0.95</formula>
    </cfRule>
    <cfRule type="cellIs" dxfId="8181" priority="9984" operator="between">
      <formula>0.51</formula>
      <formula>0.75</formula>
    </cfRule>
    <cfRule type="cellIs" dxfId="8180" priority="9985" operator="greaterThan">
      <formula>1</formula>
    </cfRule>
    <cfRule type="cellIs" dxfId="8179" priority="9986" operator="between">
      <formula>0.95</formula>
      <formula>1</formula>
    </cfRule>
    <cfRule type="cellIs" dxfId="8178" priority="9987" stopIfTrue="1" operator="between">
      <formula>0</formula>
      <formula>0.5</formula>
    </cfRule>
  </conditionalFormatting>
  <conditionalFormatting sqref="AH362">
    <cfRule type="cellIs" dxfId="8177" priority="9978" operator="between">
      <formula>0.76</formula>
      <formula>0.95</formula>
    </cfRule>
    <cfRule type="cellIs" dxfId="8176" priority="9979" operator="between">
      <formula>0.51</formula>
      <formula>0.75</formula>
    </cfRule>
    <cfRule type="cellIs" dxfId="8175" priority="9980" operator="greaterThan">
      <formula>1</formula>
    </cfRule>
    <cfRule type="cellIs" dxfId="8174" priority="9981" operator="between">
      <formula>0.95</formula>
      <formula>1</formula>
    </cfRule>
    <cfRule type="cellIs" dxfId="8173" priority="9982" stopIfTrue="1" operator="between">
      <formula>0</formula>
      <formula>0.5</formula>
    </cfRule>
  </conditionalFormatting>
  <conditionalFormatting sqref="T362">
    <cfRule type="cellIs" dxfId="8172" priority="9963" operator="between">
      <formula>0.3751</formula>
      <formula>0.475</formula>
    </cfRule>
    <cfRule type="cellIs" dxfId="8171" priority="9964" operator="between">
      <formula>0.2551</formula>
      <formula>0.375</formula>
    </cfRule>
    <cfRule type="cellIs" dxfId="8170" priority="9965" operator="greaterThan">
      <formula>0.505</formula>
    </cfRule>
    <cfRule type="cellIs" dxfId="8169" priority="9966" operator="between">
      <formula>0.48</formula>
      <formula>0.5</formula>
    </cfRule>
    <cfRule type="cellIs" dxfId="8168" priority="9967" stopIfTrue="1" operator="between">
      <formula>0</formula>
      <formula>0.255</formula>
    </cfRule>
  </conditionalFormatting>
  <conditionalFormatting sqref="U362">
    <cfRule type="cellIs" dxfId="8167" priority="9958" operator="between">
      <formula>0.376</formula>
      <formula>0.475</formula>
    </cfRule>
    <cfRule type="cellIs" dxfId="8166" priority="9959" operator="between">
      <formula>0.2551</formula>
      <formula>0.3751</formula>
    </cfRule>
    <cfRule type="cellIs" dxfId="8165" priority="9960" operator="greaterThan">
      <formula>0.505</formula>
    </cfRule>
    <cfRule type="cellIs" dxfId="8164" priority="9961" operator="between">
      <formula>0.48</formula>
      <formula>0.5</formula>
    </cfRule>
    <cfRule type="cellIs" dxfId="8163" priority="9962" stopIfTrue="1" operator="between">
      <formula>0</formula>
      <formula>0.255</formula>
    </cfRule>
  </conditionalFormatting>
  <conditionalFormatting sqref="AA362">
    <cfRule type="cellIs" dxfId="8162" priority="9953" operator="between">
      <formula>0.56251</formula>
      <formula>0.7125</formula>
    </cfRule>
    <cfRule type="cellIs" dxfId="8161" priority="9954" operator="between">
      <formula>0.3751</formula>
      <formula>0.5625</formula>
    </cfRule>
    <cfRule type="cellIs" dxfId="8160" priority="9955" operator="greaterThan">
      <formula>0.751</formula>
    </cfRule>
    <cfRule type="cellIs" dxfId="8159" priority="9956" operator="between">
      <formula>0.71251</formula>
      <formula>0.75</formula>
    </cfRule>
    <cfRule type="cellIs" dxfId="8158" priority="9957" stopIfTrue="1" operator="between">
      <formula>0</formula>
      <formula>0.375</formula>
    </cfRule>
  </conditionalFormatting>
  <conditionalFormatting sqref="AB362">
    <cfRule type="cellIs" dxfId="8157" priority="9948" operator="between">
      <formula>0.56251</formula>
      <formula>0.7125</formula>
    </cfRule>
    <cfRule type="cellIs" dxfId="8156" priority="9949" operator="between">
      <formula>0.3751</formula>
      <formula>0.5625</formula>
    </cfRule>
    <cfRule type="cellIs" dxfId="8155" priority="9950" operator="greaterThan">
      <formula>0.751</formula>
    </cfRule>
    <cfRule type="cellIs" dxfId="8154" priority="9951" operator="between">
      <formula>0.71251</formula>
      <formula>0.75</formula>
    </cfRule>
    <cfRule type="cellIs" dxfId="8153" priority="9952" stopIfTrue="1" operator="between">
      <formula>0</formula>
      <formula>0.375</formula>
    </cfRule>
  </conditionalFormatting>
  <conditionalFormatting sqref="S362">
    <cfRule type="cellIs" dxfId="8152" priority="9931" operator="between">
      <formula>0.76</formula>
      <formula>0.95</formula>
    </cfRule>
    <cfRule type="cellIs" dxfId="8151" priority="9932" operator="between">
      <formula>0.51</formula>
      <formula>0.75</formula>
    </cfRule>
    <cfRule type="cellIs" dxfId="8150" priority="9933" operator="greaterThan">
      <formula>1</formula>
    </cfRule>
    <cfRule type="cellIs" dxfId="8149" priority="9934" operator="between">
      <formula>0.95</formula>
      <formula>1</formula>
    </cfRule>
    <cfRule type="cellIs" dxfId="8148" priority="9935" stopIfTrue="1" operator="between">
      <formula>0</formula>
      <formula>0.5</formula>
    </cfRule>
  </conditionalFormatting>
  <conditionalFormatting sqref="V362">
    <cfRule type="cellIs" dxfId="8147" priority="9926" operator="between">
      <formula>0.376</formula>
      <formula>0.475</formula>
    </cfRule>
    <cfRule type="cellIs" dxfId="8146" priority="9927" operator="between">
      <formula>0.2551</formula>
      <formula>0.3751</formula>
    </cfRule>
    <cfRule type="cellIs" dxfId="8145" priority="9928" operator="greaterThan">
      <formula>0.505</formula>
    </cfRule>
    <cfRule type="cellIs" dxfId="8144" priority="9929" operator="between">
      <formula>0.48</formula>
      <formula>0.5</formula>
    </cfRule>
    <cfRule type="cellIs" dxfId="8143" priority="9930" stopIfTrue="1" operator="between">
      <formula>0</formula>
      <formula>0.255</formula>
    </cfRule>
  </conditionalFormatting>
  <conditionalFormatting sqref="AC362">
    <cfRule type="cellIs" dxfId="8142" priority="9921" operator="between">
      <formula>0.56251</formula>
      <formula>0.7125</formula>
    </cfRule>
    <cfRule type="cellIs" dxfId="8141" priority="9922" operator="between">
      <formula>0.3751</formula>
      <formula>0.5625</formula>
    </cfRule>
    <cfRule type="cellIs" dxfId="8140" priority="9923" operator="greaterThan">
      <formula>0.751</formula>
    </cfRule>
    <cfRule type="cellIs" dxfId="8139" priority="9924" operator="between">
      <formula>0.71251</formula>
      <formula>0.75</formula>
    </cfRule>
    <cfRule type="cellIs" dxfId="8138" priority="9925" stopIfTrue="1" operator="between">
      <formula>0</formula>
      <formula>0.375</formula>
    </cfRule>
  </conditionalFormatting>
  <conditionalFormatting sqref="Z362">
    <cfRule type="cellIs" dxfId="8137" priority="9906" operator="between">
      <formula>0.76</formula>
      <formula>0.95</formula>
    </cfRule>
    <cfRule type="cellIs" dxfId="8136" priority="9907" operator="between">
      <formula>0.51</formula>
      <formula>0.75</formula>
    </cfRule>
    <cfRule type="cellIs" dxfId="8135" priority="9908" operator="greaterThan">
      <formula>1</formula>
    </cfRule>
    <cfRule type="cellIs" dxfId="8134" priority="9909" operator="between">
      <formula>0.95</formula>
      <formula>1</formula>
    </cfRule>
    <cfRule type="cellIs" dxfId="8133" priority="9910" stopIfTrue="1" operator="between">
      <formula>0</formula>
      <formula>0.5</formula>
    </cfRule>
  </conditionalFormatting>
  <conditionalFormatting sqref="AG362">
    <cfRule type="cellIs" dxfId="8132" priority="9901" operator="between">
      <formula>0.76</formula>
      <formula>0.95</formula>
    </cfRule>
    <cfRule type="cellIs" dxfId="8131" priority="9902" operator="between">
      <formula>0.51</formula>
      <formula>0.75</formula>
    </cfRule>
    <cfRule type="cellIs" dxfId="8130" priority="9903" operator="greaterThan">
      <formula>1</formula>
    </cfRule>
    <cfRule type="cellIs" dxfId="8129" priority="9904" operator="between">
      <formula>0.95</formula>
      <formula>1</formula>
    </cfRule>
    <cfRule type="cellIs" dxfId="8128" priority="9905" stopIfTrue="1" operator="between">
      <formula>0</formula>
      <formula>0.5</formula>
    </cfRule>
  </conditionalFormatting>
  <conditionalFormatting sqref="AI363">
    <cfRule type="cellIs" dxfId="8127" priority="9896" operator="between">
      <formula>0.76</formula>
      <formula>0.95</formula>
    </cfRule>
    <cfRule type="cellIs" dxfId="8126" priority="9897" operator="between">
      <formula>0.51</formula>
      <formula>0.75</formula>
    </cfRule>
    <cfRule type="cellIs" dxfId="8125" priority="9898" operator="greaterThan">
      <formula>1</formula>
    </cfRule>
    <cfRule type="cellIs" dxfId="8124" priority="9899" operator="between">
      <formula>0.95</formula>
      <formula>1</formula>
    </cfRule>
    <cfRule type="cellIs" dxfId="8123" priority="9900" stopIfTrue="1" operator="between">
      <formula>0</formula>
      <formula>0.5</formula>
    </cfRule>
  </conditionalFormatting>
  <conditionalFormatting sqref="R363">
    <cfRule type="cellIs" dxfId="8122" priority="9886" operator="between">
      <formula>0.76</formula>
      <formula>0.95</formula>
    </cfRule>
    <cfRule type="cellIs" dxfId="8121" priority="9887" operator="between">
      <formula>0.51</formula>
      <formula>0.75</formula>
    </cfRule>
    <cfRule type="cellIs" dxfId="8120" priority="9888" operator="greaterThan">
      <formula>1</formula>
    </cfRule>
    <cfRule type="cellIs" dxfId="8119" priority="9889" operator="between">
      <formula>0.95</formula>
      <formula>1</formula>
    </cfRule>
    <cfRule type="cellIs" dxfId="8118" priority="9890" stopIfTrue="1" operator="between">
      <formula>0</formula>
      <formula>0.5</formula>
    </cfRule>
  </conditionalFormatting>
  <conditionalFormatting sqref="Y363">
    <cfRule type="cellIs" dxfId="8117" priority="9881" operator="between">
      <formula>0.76</formula>
      <formula>0.95</formula>
    </cfRule>
    <cfRule type="cellIs" dxfId="8116" priority="9882" operator="between">
      <formula>0.51</formula>
      <formula>0.75</formula>
    </cfRule>
    <cfRule type="cellIs" dxfId="8115" priority="9883" operator="greaterThan">
      <formula>1</formula>
    </cfRule>
    <cfRule type="cellIs" dxfId="8114" priority="9884" operator="between">
      <formula>0.95</formula>
      <formula>1</formula>
    </cfRule>
    <cfRule type="cellIs" dxfId="8113" priority="9885" stopIfTrue="1" operator="between">
      <formula>0</formula>
      <formula>0.5</formula>
    </cfRule>
  </conditionalFormatting>
  <conditionalFormatting sqref="AF363">
    <cfRule type="cellIs" dxfId="8112" priority="9876" operator="between">
      <formula>0.76</formula>
      <formula>0.95</formula>
    </cfRule>
    <cfRule type="cellIs" dxfId="8111" priority="9877" operator="between">
      <formula>0.51</formula>
      <formula>0.75</formula>
    </cfRule>
    <cfRule type="cellIs" dxfId="8110" priority="9878" operator="greaterThan">
      <formula>1</formula>
    </cfRule>
    <cfRule type="cellIs" dxfId="8109" priority="9879" operator="between">
      <formula>0.95</formula>
      <formula>1</formula>
    </cfRule>
    <cfRule type="cellIs" dxfId="8108" priority="9880" stopIfTrue="1" operator="between">
      <formula>0</formula>
      <formula>0.5</formula>
    </cfRule>
  </conditionalFormatting>
  <conditionalFormatting sqref="AH363">
    <cfRule type="cellIs" dxfId="8107" priority="9871" operator="between">
      <formula>0.76</formula>
      <formula>0.95</formula>
    </cfRule>
    <cfRule type="cellIs" dxfId="8106" priority="9872" operator="between">
      <formula>0.51</formula>
      <formula>0.75</formula>
    </cfRule>
    <cfRule type="cellIs" dxfId="8105" priority="9873" operator="greaterThan">
      <formula>1</formula>
    </cfRule>
    <cfRule type="cellIs" dxfId="8104" priority="9874" operator="between">
      <formula>0.95</formula>
      <formula>1</formula>
    </cfRule>
    <cfRule type="cellIs" dxfId="8103" priority="9875" stopIfTrue="1" operator="between">
      <formula>0</formula>
      <formula>0.5</formula>
    </cfRule>
  </conditionalFormatting>
  <conditionalFormatting sqref="T363">
    <cfRule type="cellIs" dxfId="8102" priority="9856" operator="between">
      <formula>0.3751</formula>
      <formula>0.475</formula>
    </cfRule>
    <cfRule type="cellIs" dxfId="8101" priority="9857" operator="between">
      <formula>0.2551</formula>
      <formula>0.375</formula>
    </cfRule>
    <cfRule type="cellIs" dxfId="8100" priority="9858" operator="greaterThan">
      <formula>0.505</formula>
    </cfRule>
    <cfRule type="cellIs" dxfId="8099" priority="9859" operator="between">
      <formula>0.48</formula>
      <formula>0.5</formula>
    </cfRule>
    <cfRule type="cellIs" dxfId="8098" priority="9860" stopIfTrue="1" operator="between">
      <formula>0</formula>
      <formula>0.255</formula>
    </cfRule>
  </conditionalFormatting>
  <conditionalFormatting sqref="U363">
    <cfRule type="cellIs" dxfId="8097" priority="9851" operator="between">
      <formula>0.376</formula>
      <formula>0.475</formula>
    </cfRule>
    <cfRule type="cellIs" dxfId="8096" priority="9852" operator="between">
      <formula>0.2551</formula>
      <formula>0.3751</formula>
    </cfRule>
    <cfRule type="cellIs" dxfId="8095" priority="9853" operator="greaterThan">
      <formula>0.505</formula>
    </cfRule>
    <cfRule type="cellIs" dxfId="8094" priority="9854" operator="between">
      <formula>0.48</formula>
      <formula>0.5</formula>
    </cfRule>
    <cfRule type="cellIs" dxfId="8093" priority="9855" stopIfTrue="1" operator="between">
      <formula>0</formula>
      <formula>0.255</formula>
    </cfRule>
  </conditionalFormatting>
  <conditionalFormatting sqref="AA363">
    <cfRule type="cellIs" dxfId="8092" priority="9846" operator="between">
      <formula>0.56251</formula>
      <formula>0.7125</formula>
    </cfRule>
    <cfRule type="cellIs" dxfId="8091" priority="9847" operator="between">
      <formula>0.3751</formula>
      <formula>0.5625</formula>
    </cfRule>
    <cfRule type="cellIs" dxfId="8090" priority="9848" operator="greaterThan">
      <formula>0.751</formula>
    </cfRule>
    <cfRule type="cellIs" dxfId="8089" priority="9849" operator="between">
      <formula>0.71251</formula>
      <formula>0.75</formula>
    </cfRule>
    <cfRule type="cellIs" dxfId="8088" priority="9850" stopIfTrue="1" operator="between">
      <formula>0</formula>
      <formula>0.375</formula>
    </cfRule>
  </conditionalFormatting>
  <conditionalFormatting sqref="AB363">
    <cfRule type="cellIs" dxfId="8087" priority="9841" operator="between">
      <formula>0.56251</formula>
      <formula>0.7125</formula>
    </cfRule>
    <cfRule type="cellIs" dxfId="8086" priority="9842" operator="between">
      <formula>0.3751</formula>
      <formula>0.5625</formula>
    </cfRule>
    <cfRule type="cellIs" dxfId="8085" priority="9843" operator="greaterThan">
      <formula>0.751</formula>
    </cfRule>
    <cfRule type="cellIs" dxfId="8084" priority="9844" operator="between">
      <formula>0.71251</formula>
      <formula>0.75</formula>
    </cfRule>
    <cfRule type="cellIs" dxfId="8083" priority="9845" stopIfTrue="1" operator="between">
      <formula>0</formula>
      <formula>0.375</formula>
    </cfRule>
  </conditionalFormatting>
  <conditionalFormatting sqref="S363">
    <cfRule type="cellIs" dxfId="8082" priority="9824" operator="between">
      <formula>0.76</formula>
      <formula>0.95</formula>
    </cfRule>
    <cfRule type="cellIs" dxfId="8081" priority="9825" operator="between">
      <formula>0.51</formula>
      <formula>0.75</formula>
    </cfRule>
    <cfRule type="cellIs" dxfId="8080" priority="9826" operator="greaterThan">
      <formula>1</formula>
    </cfRule>
    <cfRule type="cellIs" dxfId="8079" priority="9827" operator="between">
      <formula>0.95</formula>
      <formula>1</formula>
    </cfRule>
    <cfRule type="cellIs" dxfId="8078" priority="9828" stopIfTrue="1" operator="between">
      <formula>0</formula>
      <formula>0.5</formula>
    </cfRule>
  </conditionalFormatting>
  <conditionalFormatting sqref="V363">
    <cfRule type="cellIs" dxfId="8077" priority="9819" operator="between">
      <formula>0.376</formula>
      <formula>0.475</formula>
    </cfRule>
    <cfRule type="cellIs" dxfId="8076" priority="9820" operator="between">
      <formula>0.2551</formula>
      <formula>0.3751</formula>
    </cfRule>
    <cfRule type="cellIs" dxfId="8075" priority="9821" operator="greaterThan">
      <formula>0.505</formula>
    </cfRule>
    <cfRule type="cellIs" dxfId="8074" priority="9822" operator="between">
      <formula>0.48</formula>
      <formula>0.5</formula>
    </cfRule>
    <cfRule type="cellIs" dxfId="8073" priority="9823" stopIfTrue="1" operator="between">
      <formula>0</formula>
      <formula>0.255</formula>
    </cfRule>
  </conditionalFormatting>
  <conditionalFormatting sqref="AC363">
    <cfRule type="cellIs" dxfId="8072" priority="9814" operator="between">
      <formula>0.56251</formula>
      <formula>0.7125</formula>
    </cfRule>
    <cfRule type="cellIs" dxfId="8071" priority="9815" operator="between">
      <formula>0.3751</formula>
      <formula>0.5625</formula>
    </cfRule>
    <cfRule type="cellIs" dxfId="8070" priority="9816" operator="greaterThan">
      <formula>0.751</formula>
    </cfRule>
    <cfRule type="cellIs" dxfId="8069" priority="9817" operator="between">
      <formula>0.71251</formula>
      <formula>0.75</formula>
    </cfRule>
    <cfRule type="cellIs" dxfId="8068" priority="9818" stopIfTrue="1" operator="between">
      <formula>0</formula>
      <formula>0.375</formula>
    </cfRule>
  </conditionalFormatting>
  <conditionalFormatting sqref="AG363">
    <cfRule type="cellIs" dxfId="8067" priority="9789" operator="between">
      <formula>0.76</formula>
      <formula>0.95</formula>
    </cfRule>
    <cfRule type="cellIs" dxfId="8066" priority="9790" operator="between">
      <formula>0.51</formula>
      <formula>0.75</formula>
    </cfRule>
    <cfRule type="cellIs" dxfId="8065" priority="9791" operator="greaterThan">
      <formula>1</formula>
    </cfRule>
    <cfRule type="cellIs" dxfId="8064" priority="9792" operator="between">
      <formula>0.95</formula>
      <formula>1</formula>
    </cfRule>
    <cfRule type="cellIs" dxfId="8063" priority="9793" stopIfTrue="1" operator="between">
      <formula>0</formula>
      <formula>0.5</formula>
    </cfRule>
  </conditionalFormatting>
  <conditionalFormatting sqref="Y302 AF302 R302 AH302:AI302">
    <cfRule type="cellIs" dxfId="8062" priority="9784" operator="between">
      <formula>0.76</formula>
      <formula>0.95</formula>
    </cfRule>
    <cfRule type="cellIs" dxfId="8061" priority="9785" operator="between">
      <formula>0.51</formula>
      <formula>0.75</formula>
    </cfRule>
    <cfRule type="cellIs" dxfId="8060" priority="9786" operator="greaterThan">
      <formula>1</formula>
    </cfRule>
    <cfRule type="cellIs" dxfId="8059" priority="9787" operator="between">
      <formula>0.95</formula>
      <formula>1</formula>
    </cfRule>
    <cfRule type="cellIs" dxfId="8058" priority="9788" stopIfTrue="1" operator="between">
      <formula>0</formula>
      <formula>0.5</formula>
    </cfRule>
  </conditionalFormatting>
  <conditionalFormatting sqref="T302">
    <cfRule type="cellIs" dxfId="8057" priority="9779" operator="between">
      <formula>0.3751</formula>
      <formula>0.475</formula>
    </cfRule>
    <cfRule type="cellIs" dxfId="8056" priority="9780" operator="between">
      <formula>0.2551</formula>
      <formula>0.375</formula>
    </cfRule>
    <cfRule type="cellIs" dxfId="8055" priority="9781" operator="greaterThan">
      <formula>0.505</formula>
    </cfRule>
    <cfRule type="cellIs" dxfId="8054" priority="9782" operator="between">
      <formula>0.48</formula>
      <formula>0.5</formula>
    </cfRule>
    <cfRule type="cellIs" dxfId="8053" priority="9783" stopIfTrue="1" operator="between">
      <formula>0</formula>
      <formula>0.255</formula>
    </cfRule>
  </conditionalFormatting>
  <conditionalFormatting sqref="AA302:AB302">
    <cfRule type="cellIs" dxfId="8052" priority="9774" operator="between">
      <formula>0.56251</formula>
      <formula>0.7125</formula>
    </cfRule>
    <cfRule type="cellIs" dxfId="8051" priority="9775" operator="between">
      <formula>0.3751</formula>
      <formula>0.5625</formula>
    </cfRule>
    <cfRule type="cellIs" dxfId="8050" priority="9776" operator="greaterThan">
      <formula>0.751</formula>
    </cfRule>
    <cfRule type="cellIs" dxfId="8049" priority="9777" operator="between">
      <formula>0.71251</formula>
      <formula>0.75</formula>
    </cfRule>
    <cfRule type="cellIs" dxfId="8048" priority="9778" stopIfTrue="1" operator="between">
      <formula>0</formula>
      <formula>0.375</formula>
    </cfRule>
  </conditionalFormatting>
  <conditionalFormatting sqref="U302">
    <cfRule type="cellIs" dxfId="8047" priority="9764" operator="between">
      <formula>0.376</formula>
      <formula>0.475</formula>
    </cfRule>
    <cfRule type="cellIs" dxfId="8046" priority="9765" operator="between">
      <formula>0.2551</formula>
      <formula>0.3751</formula>
    </cfRule>
    <cfRule type="cellIs" dxfId="8045" priority="9766" operator="greaterThan">
      <formula>0.505</formula>
    </cfRule>
    <cfRule type="cellIs" dxfId="8044" priority="9767" operator="between">
      <formula>0.48</formula>
      <formula>0.5</formula>
    </cfRule>
    <cfRule type="cellIs" dxfId="8043" priority="9768" stopIfTrue="1" operator="between">
      <formula>0</formula>
      <formula>0.255</formula>
    </cfRule>
  </conditionalFormatting>
  <conditionalFormatting sqref="S302">
    <cfRule type="cellIs" dxfId="8042" priority="9741" operator="between">
      <formula>0.76</formula>
      <formula>0.95</formula>
    </cfRule>
    <cfRule type="cellIs" dxfId="8041" priority="9742" operator="between">
      <formula>0.51</formula>
      <formula>0.75</formula>
    </cfRule>
    <cfRule type="cellIs" dxfId="8040" priority="9743" operator="greaterThan">
      <formula>1</formula>
    </cfRule>
    <cfRule type="cellIs" dxfId="8039" priority="9744" operator="between">
      <formula>0.95</formula>
      <formula>1</formula>
    </cfRule>
    <cfRule type="cellIs" dxfId="8038" priority="9745" stopIfTrue="1" operator="between">
      <formula>0</formula>
      <formula>0.5</formula>
    </cfRule>
  </conditionalFormatting>
  <conditionalFormatting sqref="V302">
    <cfRule type="cellIs" dxfId="8037" priority="9736" operator="between">
      <formula>0.376</formula>
      <formula>0.475</formula>
    </cfRule>
    <cfRule type="cellIs" dxfId="8036" priority="9737" operator="between">
      <formula>0.2551</formula>
      <formula>0.3751</formula>
    </cfRule>
    <cfRule type="cellIs" dxfId="8035" priority="9738" operator="greaterThan">
      <formula>0.505</formula>
    </cfRule>
    <cfRule type="cellIs" dxfId="8034" priority="9739" operator="between">
      <formula>0.48</formula>
      <formula>0.5</formula>
    </cfRule>
    <cfRule type="cellIs" dxfId="8033" priority="9740" stopIfTrue="1" operator="between">
      <formula>0</formula>
      <formula>0.255</formula>
    </cfRule>
  </conditionalFormatting>
  <conditionalFormatting sqref="AC302">
    <cfRule type="cellIs" dxfId="8032" priority="9726" operator="between">
      <formula>0.56251</formula>
      <formula>0.7125</formula>
    </cfRule>
    <cfRule type="cellIs" dxfId="8031" priority="9727" operator="between">
      <formula>0.3751</formula>
      <formula>0.5625</formula>
    </cfRule>
    <cfRule type="cellIs" dxfId="8030" priority="9728" operator="greaterThan">
      <formula>0.751</formula>
    </cfRule>
    <cfRule type="cellIs" dxfId="8029" priority="9729" operator="between">
      <formula>0.71251</formula>
      <formula>0.75</formula>
    </cfRule>
    <cfRule type="cellIs" dxfId="8028" priority="9730" stopIfTrue="1" operator="between">
      <formula>0</formula>
      <formula>0.375</formula>
    </cfRule>
  </conditionalFormatting>
  <conditionalFormatting sqref="Z302">
    <cfRule type="cellIs" dxfId="8027" priority="9716" operator="between">
      <formula>0.76</formula>
      <formula>0.95</formula>
    </cfRule>
    <cfRule type="cellIs" dxfId="8026" priority="9717" operator="between">
      <formula>0.51</formula>
      <formula>0.75</formula>
    </cfRule>
    <cfRule type="cellIs" dxfId="8025" priority="9718" operator="greaterThan">
      <formula>1</formula>
    </cfRule>
    <cfRule type="cellIs" dxfId="8024" priority="9719" operator="between">
      <formula>0.95</formula>
      <formula>1</formula>
    </cfRule>
    <cfRule type="cellIs" dxfId="8023" priority="9720" stopIfTrue="1" operator="between">
      <formula>0</formula>
      <formula>0.5</formula>
    </cfRule>
  </conditionalFormatting>
  <conditionalFormatting sqref="Y304 AF304 R304 AH304:AI304">
    <cfRule type="cellIs" dxfId="8022" priority="9696" operator="between">
      <formula>0.76</formula>
      <formula>0.95</formula>
    </cfRule>
    <cfRule type="cellIs" dxfId="8021" priority="9697" operator="between">
      <formula>0.51</formula>
      <formula>0.75</formula>
    </cfRule>
    <cfRule type="cellIs" dxfId="8020" priority="9698" operator="greaterThan">
      <formula>1</formula>
    </cfRule>
    <cfRule type="cellIs" dxfId="8019" priority="9699" operator="between">
      <formula>0.95</formula>
      <formula>1</formula>
    </cfRule>
    <cfRule type="cellIs" dxfId="8018" priority="9700" stopIfTrue="1" operator="between">
      <formula>0</formula>
      <formula>0.5</formula>
    </cfRule>
  </conditionalFormatting>
  <conditionalFormatting sqref="T304">
    <cfRule type="cellIs" dxfId="8017" priority="9691" operator="between">
      <formula>0.3751</formula>
      <formula>0.475</formula>
    </cfRule>
    <cfRule type="cellIs" dxfId="8016" priority="9692" operator="between">
      <formula>0.2551</formula>
      <formula>0.375</formula>
    </cfRule>
    <cfRule type="cellIs" dxfId="8015" priority="9693" operator="greaterThan">
      <formula>0.505</formula>
    </cfRule>
    <cfRule type="cellIs" dxfId="8014" priority="9694" operator="between">
      <formula>0.48</formula>
      <formula>0.5</formula>
    </cfRule>
    <cfRule type="cellIs" dxfId="8013" priority="9695" stopIfTrue="1" operator="between">
      <formula>0</formula>
      <formula>0.255</formula>
    </cfRule>
  </conditionalFormatting>
  <conditionalFormatting sqref="AA304:AB304">
    <cfRule type="cellIs" dxfId="8012" priority="9686" operator="between">
      <formula>0.56251</formula>
      <formula>0.7125</formula>
    </cfRule>
    <cfRule type="cellIs" dxfId="8011" priority="9687" operator="between">
      <formula>0.3751</formula>
      <formula>0.5625</formula>
    </cfRule>
    <cfRule type="cellIs" dxfId="8010" priority="9688" operator="greaterThan">
      <formula>0.751</formula>
    </cfRule>
    <cfRule type="cellIs" dxfId="8009" priority="9689" operator="between">
      <formula>0.71251</formula>
      <formula>0.75</formula>
    </cfRule>
    <cfRule type="cellIs" dxfId="8008" priority="9690" stopIfTrue="1" operator="between">
      <formula>0</formula>
      <formula>0.375</formula>
    </cfRule>
  </conditionalFormatting>
  <conditionalFormatting sqref="U304">
    <cfRule type="cellIs" dxfId="8007" priority="9676" operator="between">
      <formula>0.376</formula>
      <formula>0.475</formula>
    </cfRule>
    <cfRule type="cellIs" dxfId="8006" priority="9677" operator="between">
      <formula>0.2551</formula>
      <formula>0.3751</formula>
    </cfRule>
    <cfRule type="cellIs" dxfId="8005" priority="9678" operator="greaterThan">
      <formula>0.505</formula>
    </cfRule>
    <cfRule type="cellIs" dxfId="8004" priority="9679" operator="between">
      <formula>0.48</formula>
      <formula>0.5</formula>
    </cfRule>
    <cfRule type="cellIs" dxfId="8003" priority="9680" stopIfTrue="1" operator="between">
      <formula>0</formula>
      <formula>0.255</formula>
    </cfRule>
  </conditionalFormatting>
  <conditionalFormatting sqref="S304">
    <cfRule type="cellIs" dxfId="8002" priority="9663" operator="between">
      <formula>0.76</formula>
      <formula>0.95</formula>
    </cfRule>
    <cfRule type="cellIs" dxfId="8001" priority="9664" operator="between">
      <formula>0.51</formula>
      <formula>0.75</formula>
    </cfRule>
    <cfRule type="cellIs" dxfId="8000" priority="9665" operator="greaterThan">
      <formula>1</formula>
    </cfRule>
    <cfRule type="cellIs" dxfId="7999" priority="9666" operator="between">
      <formula>0.95</formula>
      <formula>1</formula>
    </cfRule>
    <cfRule type="cellIs" dxfId="7998" priority="9667" stopIfTrue="1" operator="between">
      <formula>0</formula>
      <formula>0.5</formula>
    </cfRule>
  </conditionalFormatting>
  <conditionalFormatting sqref="V304">
    <cfRule type="cellIs" dxfId="7997" priority="9658" operator="between">
      <formula>0.376</formula>
      <formula>0.475</formula>
    </cfRule>
    <cfRule type="cellIs" dxfId="7996" priority="9659" operator="between">
      <formula>0.2551</formula>
      <formula>0.3751</formula>
    </cfRule>
    <cfRule type="cellIs" dxfId="7995" priority="9660" operator="greaterThan">
      <formula>0.505</formula>
    </cfRule>
    <cfRule type="cellIs" dxfId="7994" priority="9661" operator="between">
      <formula>0.48</formula>
      <formula>0.5</formula>
    </cfRule>
    <cfRule type="cellIs" dxfId="7993" priority="9662" stopIfTrue="1" operator="between">
      <formula>0</formula>
      <formula>0.255</formula>
    </cfRule>
  </conditionalFormatting>
  <conditionalFormatting sqref="AC304">
    <cfRule type="cellIs" dxfId="7992" priority="9653" operator="between">
      <formula>0.56251</formula>
      <formula>0.7125</formula>
    </cfRule>
    <cfRule type="cellIs" dxfId="7991" priority="9654" operator="between">
      <formula>0.3751</formula>
      <formula>0.5625</formula>
    </cfRule>
    <cfRule type="cellIs" dxfId="7990" priority="9655" operator="greaterThan">
      <formula>0.751</formula>
    </cfRule>
    <cfRule type="cellIs" dxfId="7989" priority="9656" operator="between">
      <formula>0.71251</formula>
      <formula>0.75</formula>
    </cfRule>
    <cfRule type="cellIs" dxfId="7988" priority="9657" stopIfTrue="1" operator="between">
      <formula>0</formula>
      <formula>0.375</formula>
    </cfRule>
  </conditionalFormatting>
  <conditionalFormatting sqref="AG304">
    <cfRule type="cellIs" dxfId="7987" priority="9648" operator="between">
      <formula>0.76</formula>
      <formula>0.95</formula>
    </cfRule>
    <cfRule type="cellIs" dxfId="7986" priority="9649" operator="between">
      <formula>0.51</formula>
      <formula>0.75</formula>
    </cfRule>
    <cfRule type="cellIs" dxfId="7985" priority="9650" operator="greaterThan">
      <formula>1</formula>
    </cfRule>
    <cfRule type="cellIs" dxfId="7984" priority="9651" operator="between">
      <formula>0.95</formula>
      <formula>1</formula>
    </cfRule>
    <cfRule type="cellIs" dxfId="7983" priority="9652" stopIfTrue="1" operator="between">
      <formula>0</formula>
      <formula>0.5</formula>
    </cfRule>
  </conditionalFormatting>
  <conditionalFormatting sqref="Z304">
    <cfRule type="cellIs" dxfId="7982" priority="9643" operator="between">
      <formula>0.76</formula>
      <formula>0.95</formula>
    </cfRule>
    <cfRule type="cellIs" dxfId="7981" priority="9644" operator="between">
      <formula>0.51</formula>
      <formula>0.75</formula>
    </cfRule>
    <cfRule type="cellIs" dxfId="7980" priority="9645" operator="greaterThan">
      <formula>1</formula>
    </cfRule>
    <cfRule type="cellIs" dxfId="7979" priority="9646" operator="between">
      <formula>0.95</formula>
      <formula>1</formula>
    </cfRule>
    <cfRule type="cellIs" dxfId="7978" priority="9647" stopIfTrue="1" operator="between">
      <formula>0</formula>
      <formula>0.5</formula>
    </cfRule>
  </conditionalFormatting>
  <conditionalFormatting sqref="R200 Y200 AF200 AH200:AI200">
    <cfRule type="cellIs" dxfId="7977" priority="9633" operator="between">
      <formula>0.76</formula>
      <formula>0.95</formula>
    </cfRule>
    <cfRule type="cellIs" dxfId="7976" priority="9634" operator="between">
      <formula>0.51</formula>
      <formula>0.75</formula>
    </cfRule>
    <cfRule type="cellIs" dxfId="7975" priority="9635" operator="greaterThan">
      <formula>1</formula>
    </cfRule>
    <cfRule type="cellIs" dxfId="7974" priority="9636" operator="between">
      <formula>0.95</formula>
      <formula>1</formula>
    </cfRule>
    <cfRule type="cellIs" dxfId="7973" priority="9637" stopIfTrue="1" operator="between">
      <formula>0</formula>
      <formula>0.5</formula>
    </cfRule>
  </conditionalFormatting>
  <conditionalFormatting sqref="T200">
    <cfRule type="cellIs" dxfId="7972" priority="9628" operator="between">
      <formula>0.3751</formula>
      <formula>0.475</formula>
    </cfRule>
    <cfRule type="cellIs" dxfId="7971" priority="9629" operator="between">
      <formula>0.2551</formula>
      <formula>0.375</formula>
    </cfRule>
    <cfRule type="cellIs" dxfId="7970" priority="9630" operator="greaterThan">
      <formula>0.505</formula>
    </cfRule>
    <cfRule type="cellIs" dxfId="7969" priority="9631" operator="between">
      <formula>0.48</formula>
      <formula>0.5</formula>
    </cfRule>
    <cfRule type="cellIs" dxfId="7968" priority="9632" stopIfTrue="1" operator="between">
      <formula>0</formula>
      <formula>0.255</formula>
    </cfRule>
  </conditionalFormatting>
  <conditionalFormatting sqref="AA200:AB200">
    <cfRule type="cellIs" dxfId="7967" priority="9623" operator="between">
      <formula>0.56251</formula>
      <formula>0.7125</formula>
    </cfRule>
    <cfRule type="cellIs" dxfId="7966" priority="9624" operator="between">
      <formula>0.3751</formula>
      <formula>0.5625</formula>
    </cfRule>
    <cfRule type="cellIs" dxfId="7965" priority="9625" operator="greaterThan">
      <formula>0.751</formula>
    </cfRule>
    <cfRule type="cellIs" dxfId="7964" priority="9626" operator="between">
      <formula>0.71251</formula>
      <formula>0.75</formula>
    </cfRule>
    <cfRule type="cellIs" dxfId="7963" priority="9627" stopIfTrue="1" operator="between">
      <formula>0</formula>
      <formula>0.375</formula>
    </cfRule>
  </conditionalFormatting>
  <conditionalFormatting sqref="U200">
    <cfRule type="cellIs" dxfId="7962" priority="9613" operator="between">
      <formula>0.376</formula>
      <formula>0.475</formula>
    </cfRule>
    <cfRule type="cellIs" dxfId="7961" priority="9614" operator="between">
      <formula>0.2551</formula>
      <formula>0.3751</formula>
    </cfRule>
    <cfRule type="cellIs" dxfId="7960" priority="9615" operator="greaterThan">
      <formula>0.505</formula>
    </cfRule>
    <cfRule type="cellIs" dxfId="7959" priority="9616" operator="between">
      <formula>0.48</formula>
      <formula>0.5</formula>
    </cfRule>
    <cfRule type="cellIs" dxfId="7958" priority="9617" stopIfTrue="1" operator="between">
      <formula>0</formula>
      <formula>0.255</formula>
    </cfRule>
  </conditionalFormatting>
  <conditionalFormatting sqref="AG200">
    <cfRule type="cellIs" dxfId="7957" priority="9605" operator="between">
      <formula>0.76</formula>
      <formula>0.95</formula>
    </cfRule>
    <cfRule type="cellIs" dxfId="7956" priority="9606" operator="between">
      <formula>0.51</formula>
      <formula>0.75</formula>
    </cfRule>
    <cfRule type="cellIs" dxfId="7955" priority="9607" operator="greaterThan">
      <formula>1</formula>
    </cfRule>
    <cfRule type="cellIs" dxfId="7954" priority="9608" operator="between">
      <formula>0.95</formula>
      <formula>1</formula>
    </cfRule>
    <cfRule type="cellIs" dxfId="7953" priority="9609" stopIfTrue="1" operator="between">
      <formula>0</formula>
      <formula>0.5</formula>
    </cfRule>
  </conditionalFormatting>
  <conditionalFormatting sqref="Z200">
    <cfRule type="cellIs" dxfId="7952" priority="9600" operator="between">
      <formula>0.76</formula>
      <formula>0.95</formula>
    </cfRule>
    <cfRule type="cellIs" dxfId="7951" priority="9601" operator="between">
      <formula>0.51</formula>
      <formula>0.75</formula>
    </cfRule>
    <cfRule type="cellIs" dxfId="7950" priority="9602" operator="greaterThan">
      <formula>1</formula>
    </cfRule>
    <cfRule type="cellIs" dxfId="7949" priority="9603" operator="between">
      <formula>0.95</formula>
      <formula>1</formula>
    </cfRule>
    <cfRule type="cellIs" dxfId="7948" priority="9604" stopIfTrue="1" operator="between">
      <formula>0</formula>
      <formula>0.5</formula>
    </cfRule>
  </conditionalFormatting>
  <conditionalFormatting sqref="AC200">
    <cfRule type="cellIs" dxfId="7947" priority="9595" operator="between">
      <formula>0.56251</formula>
      <formula>0.7125</formula>
    </cfRule>
    <cfRule type="cellIs" dxfId="7946" priority="9596" operator="between">
      <formula>0.3751</formula>
      <formula>0.5625</formula>
    </cfRule>
    <cfRule type="cellIs" dxfId="7945" priority="9597" operator="greaterThan">
      <formula>0.751</formula>
    </cfRule>
    <cfRule type="cellIs" dxfId="7944" priority="9598" operator="between">
      <formula>0.71251</formula>
      <formula>0.75</formula>
    </cfRule>
    <cfRule type="cellIs" dxfId="7943" priority="9599" stopIfTrue="1" operator="between">
      <formula>0</formula>
      <formula>0.375</formula>
    </cfRule>
  </conditionalFormatting>
  <conditionalFormatting sqref="V200">
    <cfRule type="cellIs" dxfId="7942" priority="9590" operator="between">
      <formula>0.376</formula>
      <formula>0.475</formula>
    </cfRule>
    <cfRule type="cellIs" dxfId="7941" priority="9591" operator="between">
      <formula>0.2551</formula>
      <formula>0.3751</formula>
    </cfRule>
    <cfRule type="cellIs" dxfId="7940" priority="9592" operator="greaterThan">
      <formula>0.505</formula>
    </cfRule>
    <cfRule type="cellIs" dxfId="7939" priority="9593" operator="between">
      <formula>0.48</formula>
      <formula>0.5</formula>
    </cfRule>
    <cfRule type="cellIs" dxfId="7938" priority="9594" stopIfTrue="1" operator="between">
      <formula>0</formula>
      <formula>0.255</formula>
    </cfRule>
  </conditionalFormatting>
  <conditionalFormatting sqref="S200">
    <cfRule type="cellIs" dxfId="7937" priority="9570" operator="between">
      <formula>0.76</formula>
      <formula>0.95</formula>
    </cfRule>
    <cfRule type="cellIs" dxfId="7936" priority="9571" operator="between">
      <formula>0.51</formula>
      <formula>0.75</formula>
    </cfRule>
    <cfRule type="cellIs" dxfId="7935" priority="9572" operator="greaterThan">
      <formula>1</formula>
    </cfRule>
    <cfRule type="cellIs" dxfId="7934" priority="9573" operator="between">
      <formula>0.95</formula>
      <formula>1</formula>
    </cfRule>
    <cfRule type="cellIs" dxfId="7933" priority="9574" stopIfTrue="1" operator="between">
      <formula>0</formula>
      <formula>0.5</formula>
    </cfRule>
  </conditionalFormatting>
  <conditionalFormatting sqref="R201:R204 Y201:Y204 AF201:AF204 AH201:AI204">
    <cfRule type="cellIs" dxfId="7932" priority="9550" operator="between">
      <formula>0.76</formula>
      <formula>0.95</formula>
    </cfRule>
    <cfRule type="cellIs" dxfId="7931" priority="9551" operator="between">
      <formula>0.51</formula>
      <formula>0.75</formula>
    </cfRule>
    <cfRule type="cellIs" dxfId="7930" priority="9552" operator="greaterThan">
      <formula>1</formula>
    </cfRule>
    <cfRule type="cellIs" dxfId="7929" priority="9553" operator="between">
      <formula>0.95</formula>
      <formula>1</formula>
    </cfRule>
    <cfRule type="cellIs" dxfId="7928" priority="9554" stopIfTrue="1" operator="between">
      <formula>0</formula>
      <formula>0.5</formula>
    </cfRule>
  </conditionalFormatting>
  <conditionalFormatting sqref="T201:T204">
    <cfRule type="cellIs" dxfId="7927" priority="9545" operator="between">
      <formula>0.3751</formula>
      <formula>0.475</formula>
    </cfRule>
    <cfRule type="cellIs" dxfId="7926" priority="9546" operator="between">
      <formula>0.2551</formula>
      <formula>0.375</formula>
    </cfRule>
    <cfRule type="cellIs" dxfId="7925" priority="9547" operator="greaterThan">
      <formula>0.505</formula>
    </cfRule>
    <cfRule type="cellIs" dxfId="7924" priority="9548" operator="between">
      <formula>0.48</formula>
      <formula>0.5</formula>
    </cfRule>
    <cfRule type="cellIs" dxfId="7923" priority="9549" stopIfTrue="1" operator="between">
      <formula>0</formula>
      <formula>0.255</formula>
    </cfRule>
  </conditionalFormatting>
  <conditionalFormatting sqref="AA201:AB204">
    <cfRule type="cellIs" dxfId="7922" priority="9540" operator="between">
      <formula>0.56251</formula>
      <formula>0.7125</formula>
    </cfRule>
    <cfRule type="cellIs" dxfId="7921" priority="9541" operator="between">
      <formula>0.3751</formula>
      <formula>0.5625</formula>
    </cfRule>
    <cfRule type="cellIs" dxfId="7920" priority="9542" operator="greaterThan">
      <formula>0.751</formula>
    </cfRule>
    <cfRule type="cellIs" dxfId="7919" priority="9543" operator="between">
      <formula>0.71251</formula>
      <formula>0.75</formula>
    </cfRule>
    <cfRule type="cellIs" dxfId="7918" priority="9544" stopIfTrue="1" operator="between">
      <formula>0</formula>
      <formula>0.375</formula>
    </cfRule>
  </conditionalFormatting>
  <conditionalFormatting sqref="U201:U204">
    <cfRule type="cellIs" dxfId="7917" priority="9530" operator="between">
      <formula>0.376</formula>
      <formula>0.475</formula>
    </cfRule>
    <cfRule type="cellIs" dxfId="7916" priority="9531" operator="between">
      <formula>0.2551</formula>
      <formula>0.3751</formula>
    </cfRule>
    <cfRule type="cellIs" dxfId="7915" priority="9532" operator="greaterThan">
      <formula>0.505</formula>
    </cfRule>
    <cfRule type="cellIs" dxfId="7914" priority="9533" operator="between">
      <formula>0.48</formula>
      <formula>0.5</formula>
    </cfRule>
    <cfRule type="cellIs" dxfId="7913" priority="9534" stopIfTrue="1" operator="between">
      <formula>0</formula>
      <formula>0.255</formula>
    </cfRule>
  </conditionalFormatting>
  <conditionalFormatting sqref="AG201:AG203">
    <cfRule type="cellIs" dxfId="7912" priority="9522" operator="between">
      <formula>0.76</formula>
      <formula>0.95</formula>
    </cfRule>
    <cfRule type="cellIs" dxfId="7911" priority="9523" operator="between">
      <formula>0.51</formula>
      <formula>0.75</formula>
    </cfRule>
    <cfRule type="cellIs" dxfId="7910" priority="9524" operator="greaterThan">
      <formula>1</formula>
    </cfRule>
    <cfRule type="cellIs" dxfId="7909" priority="9525" operator="between">
      <formula>0.95</formula>
      <formula>1</formula>
    </cfRule>
    <cfRule type="cellIs" dxfId="7908" priority="9526" stopIfTrue="1" operator="between">
      <formula>0</formula>
      <formula>0.5</formula>
    </cfRule>
  </conditionalFormatting>
  <conditionalFormatting sqref="Z201:Z203">
    <cfRule type="cellIs" dxfId="7907" priority="9517" operator="between">
      <formula>0.76</formula>
      <formula>0.95</formula>
    </cfRule>
    <cfRule type="cellIs" dxfId="7906" priority="9518" operator="between">
      <formula>0.51</formula>
      <formula>0.75</formula>
    </cfRule>
    <cfRule type="cellIs" dxfId="7905" priority="9519" operator="greaterThan">
      <formula>1</formula>
    </cfRule>
    <cfRule type="cellIs" dxfId="7904" priority="9520" operator="between">
      <formula>0.95</formula>
      <formula>1</formula>
    </cfRule>
    <cfRule type="cellIs" dxfId="7903" priority="9521" stopIfTrue="1" operator="between">
      <formula>0</formula>
      <formula>0.5</formula>
    </cfRule>
  </conditionalFormatting>
  <conditionalFormatting sqref="AC201:AC204">
    <cfRule type="cellIs" dxfId="7902" priority="9512" operator="between">
      <formula>0.56251</formula>
      <formula>0.7125</formula>
    </cfRule>
    <cfRule type="cellIs" dxfId="7901" priority="9513" operator="between">
      <formula>0.3751</formula>
      <formula>0.5625</formula>
    </cfRule>
    <cfRule type="cellIs" dxfId="7900" priority="9514" operator="greaterThan">
      <formula>0.751</formula>
    </cfRule>
    <cfRule type="cellIs" dxfId="7899" priority="9515" operator="between">
      <formula>0.71251</formula>
      <formula>0.75</formula>
    </cfRule>
    <cfRule type="cellIs" dxfId="7898" priority="9516" stopIfTrue="1" operator="between">
      <formula>0</formula>
      <formula>0.375</formula>
    </cfRule>
  </conditionalFormatting>
  <conditionalFormatting sqref="V201:V204">
    <cfRule type="cellIs" dxfId="7897" priority="9507" operator="between">
      <formula>0.376</formula>
      <formula>0.475</formula>
    </cfRule>
    <cfRule type="cellIs" dxfId="7896" priority="9508" operator="between">
      <formula>0.2551</formula>
      <formula>0.3751</formula>
    </cfRule>
    <cfRule type="cellIs" dxfId="7895" priority="9509" operator="greaterThan">
      <formula>0.505</formula>
    </cfRule>
    <cfRule type="cellIs" dxfId="7894" priority="9510" operator="between">
      <formula>0.48</formula>
      <formula>0.5</formula>
    </cfRule>
    <cfRule type="cellIs" dxfId="7893" priority="9511" stopIfTrue="1" operator="between">
      <formula>0</formula>
      <formula>0.255</formula>
    </cfRule>
  </conditionalFormatting>
  <conditionalFormatting sqref="R255:S255 Y255:Z255 AF255:AI255">
    <cfRule type="cellIs" dxfId="7892" priority="9482" operator="between">
      <formula>0.76</formula>
      <formula>0.95</formula>
    </cfRule>
    <cfRule type="cellIs" dxfId="7891" priority="9483" operator="between">
      <formula>0.51</formula>
      <formula>0.75</formula>
    </cfRule>
    <cfRule type="cellIs" dxfId="7890" priority="9484" operator="greaterThan">
      <formula>1</formula>
    </cfRule>
    <cfRule type="cellIs" dxfId="7889" priority="9485" operator="between">
      <formula>0.95</formula>
      <formula>1</formula>
    </cfRule>
    <cfRule type="cellIs" dxfId="7888" priority="9486" stopIfTrue="1" operator="between">
      <formula>0</formula>
      <formula>0.5</formula>
    </cfRule>
  </conditionalFormatting>
  <conditionalFormatting sqref="T255">
    <cfRule type="cellIs" dxfId="7887" priority="9477" operator="between">
      <formula>0.3751</formula>
      <formula>0.475</formula>
    </cfRule>
    <cfRule type="cellIs" dxfId="7886" priority="9478" operator="between">
      <formula>0.2551</formula>
      <formula>0.375</formula>
    </cfRule>
    <cfRule type="cellIs" dxfId="7885" priority="9479" operator="greaterThan">
      <formula>0.505</formula>
    </cfRule>
    <cfRule type="cellIs" dxfId="7884" priority="9480" operator="between">
      <formula>0.48</formula>
      <formula>0.5</formula>
    </cfRule>
    <cfRule type="cellIs" dxfId="7883" priority="9481" stopIfTrue="1" operator="between">
      <formula>0</formula>
      <formula>0.255</formula>
    </cfRule>
  </conditionalFormatting>
  <conditionalFormatting sqref="AA255:AC255">
    <cfRule type="cellIs" dxfId="7882" priority="9472" operator="between">
      <formula>0.56251</formula>
      <formula>0.7125</formula>
    </cfRule>
    <cfRule type="cellIs" dxfId="7881" priority="9473" operator="between">
      <formula>0.3751</formula>
      <formula>0.5625</formula>
    </cfRule>
    <cfRule type="cellIs" dxfId="7880" priority="9474" operator="greaterThan">
      <formula>0.751</formula>
    </cfRule>
    <cfRule type="cellIs" dxfId="7879" priority="9475" operator="between">
      <formula>0.71251</formula>
      <formula>0.75</formula>
    </cfRule>
    <cfRule type="cellIs" dxfId="7878" priority="9476" stopIfTrue="1" operator="between">
      <formula>0</formula>
      <formula>0.375</formula>
    </cfRule>
  </conditionalFormatting>
  <conditionalFormatting sqref="U255:V255">
    <cfRule type="cellIs" dxfId="7877" priority="9462" operator="between">
      <formula>0.376</formula>
      <formula>0.475</formula>
    </cfRule>
    <cfRule type="cellIs" dxfId="7876" priority="9463" operator="between">
      <formula>0.2551</formula>
      <formula>0.3751</formula>
    </cfRule>
    <cfRule type="cellIs" dxfId="7875" priority="9464" operator="greaterThan">
      <formula>0.505</formula>
    </cfRule>
    <cfRule type="cellIs" dxfId="7874" priority="9465" operator="between">
      <formula>0.48</formula>
      <formula>0.5</formula>
    </cfRule>
    <cfRule type="cellIs" dxfId="7873" priority="9466" stopIfTrue="1" operator="between">
      <formula>0</formula>
      <formula>0.255</formula>
    </cfRule>
  </conditionalFormatting>
  <conditionalFormatting sqref="AG206 S206 Z206">
    <cfRule type="cellIs" dxfId="7872" priority="9444" operator="between">
      <formula>0.76</formula>
      <formula>0.95</formula>
    </cfRule>
    <cfRule type="cellIs" dxfId="7871" priority="9445" operator="between">
      <formula>0.51</formula>
      <formula>0.75</formula>
    </cfRule>
    <cfRule type="cellIs" dxfId="7870" priority="9446" operator="greaterThan">
      <formula>1</formula>
    </cfRule>
    <cfRule type="cellIs" dxfId="7869" priority="9447" operator="between">
      <formula>0.95</formula>
      <formula>1</formula>
    </cfRule>
    <cfRule type="cellIs" dxfId="7868" priority="9448" stopIfTrue="1" operator="between">
      <formula>0</formula>
      <formula>0.5</formula>
    </cfRule>
  </conditionalFormatting>
  <conditionalFormatting sqref="R206">
    <cfRule type="cellIs" dxfId="7867" priority="9434" operator="between">
      <formula>0.76</formula>
      <formula>0.95</formula>
    </cfRule>
    <cfRule type="cellIs" dxfId="7866" priority="9435" operator="between">
      <formula>0.51</formula>
      <formula>0.75</formula>
    </cfRule>
    <cfRule type="cellIs" dxfId="7865" priority="9436" operator="greaterThan">
      <formula>1</formula>
    </cfRule>
    <cfRule type="cellIs" dxfId="7864" priority="9437" operator="between">
      <formula>0.95</formula>
      <formula>1</formula>
    </cfRule>
    <cfRule type="cellIs" dxfId="7863" priority="9438" stopIfTrue="1" operator="between">
      <formula>0</formula>
      <formula>0.5</formula>
    </cfRule>
  </conditionalFormatting>
  <conditionalFormatting sqref="Y206">
    <cfRule type="cellIs" dxfId="7862" priority="9429" operator="between">
      <formula>0.76</formula>
      <formula>0.95</formula>
    </cfRule>
    <cfRule type="cellIs" dxfId="7861" priority="9430" operator="between">
      <formula>0.51</formula>
      <formula>0.75</formula>
    </cfRule>
    <cfRule type="cellIs" dxfId="7860" priority="9431" operator="greaterThan">
      <formula>1</formula>
    </cfRule>
    <cfRule type="cellIs" dxfId="7859" priority="9432" operator="between">
      <formula>0.95</formula>
      <formula>1</formula>
    </cfRule>
    <cfRule type="cellIs" dxfId="7858" priority="9433" stopIfTrue="1" operator="between">
      <formula>0</formula>
      <formula>0.5</formula>
    </cfRule>
  </conditionalFormatting>
  <conditionalFormatting sqref="AF206">
    <cfRule type="cellIs" dxfId="7857" priority="9424" operator="between">
      <formula>0.76</formula>
      <formula>0.95</formula>
    </cfRule>
    <cfRule type="cellIs" dxfId="7856" priority="9425" operator="between">
      <formula>0.51</formula>
      <formula>0.75</formula>
    </cfRule>
    <cfRule type="cellIs" dxfId="7855" priority="9426" operator="greaterThan">
      <formula>1</formula>
    </cfRule>
    <cfRule type="cellIs" dxfId="7854" priority="9427" operator="between">
      <formula>0.95</formula>
      <formula>1</formula>
    </cfRule>
    <cfRule type="cellIs" dxfId="7853" priority="9428" stopIfTrue="1" operator="between">
      <formula>0</formula>
      <formula>0.5</formula>
    </cfRule>
  </conditionalFormatting>
  <conditionalFormatting sqref="O206">
    <cfRule type="cellIs" dxfId="7852" priority="9414" operator="between">
      <formula>0.1876</formula>
      <formula>0.2375</formula>
    </cfRule>
    <cfRule type="cellIs" dxfId="7851" priority="9415" operator="between">
      <formula>0.1251</formula>
      <formula>0.1875</formula>
    </cfRule>
    <cfRule type="cellIs" dxfId="7850" priority="9416" operator="greaterThan">
      <formula>0.25</formula>
    </cfRule>
    <cfRule type="cellIs" dxfId="7849" priority="9417" operator="between">
      <formula>0.2376</formula>
      <formula>0.25</formula>
    </cfRule>
    <cfRule type="cellIs" dxfId="7848" priority="9418" stopIfTrue="1" operator="between">
      <formula>0</formula>
      <formula>0.125</formula>
    </cfRule>
  </conditionalFormatting>
  <conditionalFormatting sqref="M206">
    <cfRule type="cellIs" dxfId="7847" priority="9409" operator="between">
      <formula>0.1876</formula>
      <formula>0.2375</formula>
    </cfRule>
    <cfRule type="cellIs" dxfId="7846" priority="9410" operator="between">
      <formula>0.1251</formula>
      <formula>0.1875</formula>
    </cfRule>
    <cfRule type="cellIs" dxfId="7845" priority="9411" operator="greaterThan">
      <formula>0.25</formula>
    </cfRule>
    <cfRule type="cellIs" dxfId="7844" priority="9412" operator="between">
      <formula>0.2376</formula>
      <formula>0.25</formula>
    </cfRule>
    <cfRule type="cellIs" dxfId="7843" priority="9413" stopIfTrue="1" operator="between">
      <formula>0</formula>
      <formula>0.125</formula>
    </cfRule>
  </conditionalFormatting>
  <conditionalFormatting sqref="AI205">
    <cfRule type="cellIs" dxfId="7842" priority="9367" operator="between">
      <formula>0.76</formula>
      <formula>0.95</formula>
    </cfRule>
    <cfRule type="cellIs" dxfId="7841" priority="9368" operator="between">
      <formula>0.51</formula>
      <formula>0.75</formula>
    </cfRule>
    <cfRule type="cellIs" dxfId="7840" priority="9369" operator="greaterThan">
      <formula>1</formula>
    </cfRule>
    <cfRule type="cellIs" dxfId="7839" priority="9370" operator="between">
      <formula>0.95</formula>
      <formula>1</formula>
    </cfRule>
    <cfRule type="cellIs" dxfId="7838" priority="9371" stopIfTrue="1" operator="between">
      <formula>0</formula>
      <formula>0.5</formula>
    </cfRule>
  </conditionalFormatting>
  <conditionalFormatting sqref="R205">
    <cfRule type="cellIs" dxfId="7837" priority="9357" operator="between">
      <formula>0.76</formula>
      <formula>0.95</formula>
    </cfRule>
    <cfRule type="cellIs" dxfId="7836" priority="9358" operator="between">
      <formula>0.51</formula>
      <formula>0.75</formula>
    </cfRule>
    <cfRule type="cellIs" dxfId="7835" priority="9359" operator="greaterThan">
      <formula>1</formula>
    </cfRule>
    <cfRule type="cellIs" dxfId="7834" priority="9360" operator="between">
      <formula>0.95</formula>
      <formula>1</formula>
    </cfRule>
    <cfRule type="cellIs" dxfId="7833" priority="9361" stopIfTrue="1" operator="between">
      <formula>0</formula>
      <formula>0.5</formula>
    </cfRule>
  </conditionalFormatting>
  <conditionalFormatting sqref="Y205">
    <cfRule type="cellIs" dxfId="7832" priority="9352" operator="between">
      <formula>0.76</formula>
      <formula>0.95</formula>
    </cfRule>
    <cfRule type="cellIs" dxfId="7831" priority="9353" operator="between">
      <formula>0.51</formula>
      <formula>0.75</formula>
    </cfRule>
    <cfRule type="cellIs" dxfId="7830" priority="9354" operator="greaterThan">
      <formula>1</formula>
    </cfRule>
    <cfRule type="cellIs" dxfId="7829" priority="9355" operator="between">
      <formula>0.95</formula>
      <formula>1</formula>
    </cfRule>
    <cfRule type="cellIs" dxfId="7828" priority="9356" stopIfTrue="1" operator="between">
      <formula>0</formula>
      <formula>0.5</formula>
    </cfRule>
  </conditionalFormatting>
  <conditionalFormatting sqref="AH205">
    <cfRule type="cellIs" dxfId="7827" priority="9342" operator="between">
      <formula>0.76</formula>
      <formula>0.95</formula>
    </cfRule>
    <cfRule type="cellIs" dxfId="7826" priority="9343" operator="between">
      <formula>0.51</formula>
      <formula>0.75</formula>
    </cfRule>
    <cfRule type="cellIs" dxfId="7825" priority="9344" operator="greaterThan">
      <formula>1</formula>
    </cfRule>
    <cfRule type="cellIs" dxfId="7824" priority="9345" operator="between">
      <formula>0.95</formula>
      <formula>1</formula>
    </cfRule>
    <cfRule type="cellIs" dxfId="7823" priority="9346" stopIfTrue="1" operator="between">
      <formula>0</formula>
      <formula>0.5</formula>
    </cfRule>
  </conditionalFormatting>
  <conditionalFormatting sqref="T205">
    <cfRule type="cellIs" dxfId="7822" priority="9327" operator="between">
      <formula>0.3751</formula>
      <formula>0.475</formula>
    </cfRule>
    <cfRule type="cellIs" dxfId="7821" priority="9328" operator="between">
      <formula>0.2551</formula>
      <formula>0.375</formula>
    </cfRule>
    <cfRule type="cellIs" dxfId="7820" priority="9329" operator="greaterThan">
      <formula>0.505</formula>
    </cfRule>
    <cfRule type="cellIs" dxfId="7819" priority="9330" operator="between">
      <formula>0.48</formula>
      <formula>0.5</formula>
    </cfRule>
    <cfRule type="cellIs" dxfId="7818" priority="9331" stopIfTrue="1" operator="between">
      <formula>0</formula>
      <formula>0.255</formula>
    </cfRule>
  </conditionalFormatting>
  <conditionalFormatting sqref="U205:V205">
    <cfRule type="cellIs" dxfId="7817" priority="9322" operator="between">
      <formula>0.376</formula>
      <formula>0.475</formula>
    </cfRule>
    <cfRule type="cellIs" dxfId="7816" priority="9323" operator="between">
      <formula>0.2551</formula>
      <formula>0.3751</formula>
    </cfRule>
    <cfRule type="cellIs" dxfId="7815" priority="9324" operator="greaterThan">
      <formula>0.505</formula>
    </cfRule>
    <cfRule type="cellIs" dxfId="7814" priority="9325" operator="between">
      <formula>0.48</formula>
      <formula>0.5</formula>
    </cfRule>
    <cfRule type="cellIs" dxfId="7813" priority="9326" stopIfTrue="1" operator="between">
      <formula>0</formula>
      <formula>0.255</formula>
    </cfRule>
  </conditionalFormatting>
  <conditionalFormatting sqref="AA205">
    <cfRule type="cellIs" dxfId="7812" priority="9317" operator="between">
      <formula>0.56251</formula>
      <formula>0.7125</formula>
    </cfRule>
    <cfRule type="cellIs" dxfId="7811" priority="9318" operator="between">
      <formula>0.3751</formula>
      <formula>0.5625</formula>
    </cfRule>
    <cfRule type="cellIs" dxfId="7810" priority="9319" operator="greaterThan">
      <formula>0.751</formula>
    </cfRule>
    <cfRule type="cellIs" dxfId="7809" priority="9320" operator="between">
      <formula>0.71251</formula>
      <formula>0.75</formula>
    </cfRule>
    <cfRule type="cellIs" dxfId="7808" priority="9321" stopIfTrue="1" operator="between">
      <formula>0</formula>
      <formula>0.375</formula>
    </cfRule>
  </conditionalFormatting>
  <conditionalFormatting sqref="AC205">
    <cfRule type="cellIs" dxfId="7807" priority="9312" operator="between">
      <formula>0.56251</formula>
      <formula>0.7125</formula>
    </cfRule>
    <cfRule type="cellIs" dxfId="7806" priority="9313" operator="between">
      <formula>0.3751</formula>
      <formula>0.5625</formula>
    </cfRule>
    <cfRule type="cellIs" dxfId="7805" priority="9314" operator="greaterThan">
      <formula>0.751</formula>
    </cfRule>
    <cfRule type="cellIs" dxfId="7804" priority="9315" operator="between">
      <formula>0.71251</formula>
      <formula>0.75</formula>
    </cfRule>
    <cfRule type="cellIs" dxfId="7803" priority="9316" stopIfTrue="1" operator="between">
      <formula>0</formula>
      <formula>0.375</formula>
    </cfRule>
  </conditionalFormatting>
  <conditionalFormatting sqref="AB205">
    <cfRule type="cellIs" dxfId="7802" priority="9307" operator="between">
      <formula>0.56251</formula>
      <formula>0.7125</formula>
    </cfRule>
    <cfRule type="cellIs" dxfId="7801" priority="9308" operator="between">
      <formula>0.3751</formula>
      <formula>0.5625</formula>
    </cfRule>
    <cfRule type="cellIs" dxfId="7800" priority="9309" operator="greaterThan">
      <formula>0.751</formula>
    </cfRule>
    <cfRule type="cellIs" dxfId="7799" priority="9310" operator="between">
      <formula>0.71251</formula>
      <formula>0.75</formula>
    </cfRule>
    <cfRule type="cellIs" dxfId="7798" priority="9311" stopIfTrue="1" operator="between">
      <formula>0</formula>
      <formula>0.375</formula>
    </cfRule>
  </conditionalFormatting>
  <conditionalFormatting sqref="S201">
    <cfRule type="cellIs" dxfId="7797" priority="9290" operator="between">
      <formula>0.76</formula>
      <formula>0.95</formula>
    </cfRule>
    <cfRule type="cellIs" dxfId="7796" priority="9291" operator="between">
      <formula>0.51</formula>
      <formula>0.75</formula>
    </cfRule>
    <cfRule type="cellIs" dxfId="7795" priority="9292" operator="greaterThan">
      <formula>1</formula>
    </cfRule>
    <cfRule type="cellIs" dxfId="7794" priority="9293" operator="between">
      <formula>0.95</formula>
      <formula>1</formula>
    </cfRule>
    <cfRule type="cellIs" dxfId="7793" priority="9294" stopIfTrue="1" operator="between">
      <formula>0</formula>
      <formula>0.5</formula>
    </cfRule>
  </conditionalFormatting>
  <conditionalFormatting sqref="S204:S205">
    <cfRule type="cellIs" dxfId="7792" priority="9285" operator="between">
      <formula>0.76</formula>
      <formula>0.95</formula>
    </cfRule>
    <cfRule type="cellIs" dxfId="7791" priority="9286" operator="between">
      <formula>0.51</formula>
      <formula>0.75</formula>
    </cfRule>
    <cfRule type="cellIs" dxfId="7790" priority="9287" operator="greaterThan">
      <formula>1</formula>
    </cfRule>
    <cfRule type="cellIs" dxfId="7789" priority="9288" operator="between">
      <formula>0.95</formula>
      <formula>1</formula>
    </cfRule>
    <cfRule type="cellIs" dxfId="7788" priority="9289" stopIfTrue="1" operator="between">
      <formula>0</formula>
      <formula>0.5</formula>
    </cfRule>
  </conditionalFormatting>
  <conditionalFormatting sqref="Z204:Z205">
    <cfRule type="cellIs" dxfId="7787" priority="9280" operator="between">
      <formula>0.76</formula>
      <formula>0.95</formula>
    </cfRule>
    <cfRule type="cellIs" dxfId="7786" priority="9281" operator="between">
      <formula>0.51</formula>
      <formula>0.75</formula>
    </cfRule>
    <cfRule type="cellIs" dxfId="7785" priority="9282" operator="greaterThan">
      <formula>1</formula>
    </cfRule>
    <cfRule type="cellIs" dxfId="7784" priority="9283" operator="between">
      <formula>0.95</formula>
      <formula>1</formula>
    </cfRule>
    <cfRule type="cellIs" dxfId="7783" priority="9284" stopIfTrue="1" operator="between">
      <formula>0</formula>
      <formula>0.5</formula>
    </cfRule>
  </conditionalFormatting>
  <conditionalFormatting sqref="AG204">
    <cfRule type="cellIs" dxfId="7782" priority="9275" operator="between">
      <formula>0.76</formula>
      <formula>0.95</formula>
    </cfRule>
    <cfRule type="cellIs" dxfId="7781" priority="9276" operator="between">
      <formula>0.51</formula>
      <formula>0.75</formula>
    </cfRule>
    <cfRule type="cellIs" dxfId="7780" priority="9277" operator="greaterThan">
      <formula>1</formula>
    </cfRule>
    <cfRule type="cellIs" dxfId="7779" priority="9278" operator="between">
      <formula>0.95</formula>
      <formula>1</formula>
    </cfRule>
    <cfRule type="cellIs" dxfId="7778" priority="9279" stopIfTrue="1" operator="between">
      <formula>0</formula>
      <formula>0.5</formula>
    </cfRule>
  </conditionalFormatting>
  <conditionalFormatting sqref="Y306 AF306 R306 AH306:AI306">
    <cfRule type="cellIs" dxfId="7777" priority="9270" operator="between">
      <formula>0.76</formula>
      <formula>0.95</formula>
    </cfRule>
    <cfRule type="cellIs" dxfId="7776" priority="9271" operator="between">
      <formula>0.51</formula>
      <formula>0.75</formula>
    </cfRule>
    <cfRule type="cellIs" dxfId="7775" priority="9272" operator="greaterThan">
      <formula>1</formula>
    </cfRule>
    <cfRule type="cellIs" dxfId="7774" priority="9273" operator="between">
      <formula>0.95</formula>
      <formula>1</formula>
    </cfRule>
    <cfRule type="cellIs" dxfId="7773" priority="9274" stopIfTrue="1" operator="between">
      <formula>0</formula>
      <formula>0.5</formula>
    </cfRule>
  </conditionalFormatting>
  <conditionalFormatting sqref="T306">
    <cfRule type="cellIs" dxfId="7772" priority="9265" operator="between">
      <formula>0.3751</formula>
      <formula>0.475</formula>
    </cfRule>
    <cfRule type="cellIs" dxfId="7771" priority="9266" operator="between">
      <formula>0.2551</formula>
      <formula>0.375</formula>
    </cfRule>
    <cfRule type="cellIs" dxfId="7770" priority="9267" operator="greaterThan">
      <formula>0.505</formula>
    </cfRule>
    <cfRule type="cellIs" dxfId="7769" priority="9268" operator="between">
      <formula>0.48</formula>
      <formula>0.5</formula>
    </cfRule>
    <cfRule type="cellIs" dxfId="7768" priority="9269" stopIfTrue="1" operator="between">
      <formula>0</formula>
      <formula>0.255</formula>
    </cfRule>
  </conditionalFormatting>
  <conditionalFormatting sqref="AA306:AB306">
    <cfRule type="cellIs" dxfId="7767" priority="9260" operator="between">
      <formula>0.56251</formula>
      <formula>0.7125</formula>
    </cfRule>
    <cfRule type="cellIs" dxfId="7766" priority="9261" operator="between">
      <formula>0.3751</formula>
      <formula>0.5625</formula>
    </cfRule>
    <cfRule type="cellIs" dxfId="7765" priority="9262" operator="greaterThan">
      <formula>0.751</formula>
    </cfRule>
    <cfRule type="cellIs" dxfId="7764" priority="9263" operator="between">
      <formula>0.71251</formula>
      <formula>0.75</formula>
    </cfRule>
    <cfRule type="cellIs" dxfId="7763" priority="9264" stopIfTrue="1" operator="between">
      <formula>0</formula>
      <formula>0.375</formula>
    </cfRule>
  </conditionalFormatting>
  <conditionalFormatting sqref="U306">
    <cfRule type="cellIs" dxfId="7762" priority="9250" operator="between">
      <formula>0.376</formula>
      <formula>0.475</formula>
    </cfRule>
    <cfRule type="cellIs" dxfId="7761" priority="9251" operator="between">
      <formula>0.2551</formula>
      <formula>0.3751</formula>
    </cfRule>
    <cfRule type="cellIs" dxfId="7760" priority="9252" operator="greaterThan">
      <formula>0.505</formula>
    </cfRule>
    <cfRule type="cellIs" dxfId="7759" priority="9253" operator="between">
      <formula>0.48</formula>
      <formula>0.5</formula>
    </cfRule>
    <cfRule type="cellIs" dxfId="7758" priority="9254" stopIfTrue="1" operator="between">
      <formula>0</formula>
      <formula>0.255</formula>
    </cfRule>
  </conditionalFormatting>
  <conditionalFormatting sqref="S306">
    <cfRule type="cellIs" dxfId="7757" priority="9237" operator="between">
      <formula>0.76</formula>
      <formula>0.95</formula>
    </cfRule>
    <cfRule type="cellIs" dxfId="7756" priority="9238" operator="between">
      <formula>0.51</formula>
      <formula>0.75</formula>
    </cfRule>
    <cfRule type="cellIs" dxfId="7755" priority="9239" operator="greaterThan">
      <formula>1</formula>
    </cfRule>
    <cfRule type="cellIs" dxfId="7754" priority="9240" operator="between">
      <formula>0.95</formula>
      <formula>1</formula>
    </cfRule>
    <cfRule type="cellIs" dxfId="7753" priority="9241" stopIfTrue="1" operator="between">
      <formula>0</formula>
      <formula>0.5</formula>
    </cfRule>
  </conditionalFormatting>
  <conditionalFormatting sqref="V306">
    <cfRule type="cellIs" dxfId="7752" priority="9232" operator="between">
      <formula>0.376</formula>
      <formula>0.475</formula>
    </cfRule>
    <cfRule type="cellIs" dxfId="7751" priority="9233" operator="between">
      <formula>0.2551</formula>
      <formula>0.3751</formula>
    </cfRule>
    <cfRule type="cellIs" dxfId="7750" priority="9234" operator="greaterThan">
      <formula>0.505</formula>
    </cfRule>
    <cfRule type="cellIs" dxfId="7749" priority="9235" operator="between">
      <formula>0.48</formula>
      <formula>0.5</formula>
    </cfRule>
    <cfRule type="cellIs" dxfId="7748" priority="9236" stopIfTrue="1" operator="between">
      <formula>0</formula>
      <formula>0.255</formula>
    </cfRule>
  </conditionalFormatting>
  <conditionalFormatting sqref="AC306">
    <cfRule type="cellIs" dxfId="7747" priority="9227" operator="between">
      <formula>0.56251</formula>
      <formula>0.7125</formula>
    </cfRule>
    <cfRule type="cellIs" dxfId="7746" priority="9228" operator="between">
      <formula>0.3751</formula>
      <formula>0.5625</formula>
    </cfRule>
    <cfRule type="cellIs" dxfId="7745" priority="9229" operator="greaterThan">
      <formula>0.751</formula>
    </cfRule>
    <cfRule type="cellIs" dxfId="7744" priority="9230" operator="between">
      <formula>0.71251</formula>
      <formula>0.75</formula>
    </cfRule>
    <cfRule type="cellIs" dxfId="7743" priority="9231" stopIfTrue="1" operator="between">
      <formula>0</formula>
      <formula>0.375</formula>
    </cfRule>
  </conditionalFormatting>
  <conditionalFormatting sqref="AG306">
    <cfRule type="cellIs" dxfId="7742" priority="9222" operator="between">
      <formula>0.76</formula>
      <formula>0.95</formula>
    </cfRule>
    <cfRule type="cellIs" dxfId="7741" priority="9223" operator="between">
      <formula>0.51</formula>
      <formula>0.75</formula>
    </cfRule>
    <cfRule type="cellIs" dxfId="7740" priority="9224" operator="greaterThan">
      <formula>1</formula>
    </cfRule>
    <cfRule type="cellIs" dxfId="7739" priority="9225" operator="between">
      <formula>0.95</formula>
      <formula>1</formula>
    </cfRule>
    <cfRule type="cellIs" dxfId="7738" priority="9226" stopIfTrue="1" operator="between">
      <formula>0</formula>
      <formula>0.5</formula>
    </cfRule>
  </conditionalFormatting>
  <conditionalFormatting sqref="Z306">
    <cfRule type="cellIs" dxfId="7737" priority="9217" operator="between">
      <formula>0.76</formula>
      <formula>0.95</formula>
    </cfRule>
    <cfRule type="cellIs" dxfId="7736" priority="9218" operator="between">
      <formula>0.51</formula>
      <formula>0.75</formula>
    </cfRule>
    <cfRule type="cellIs" dxfId="7735" priority="9219" operator="greaterThan">
      <formula>1</formula>
    </cfRule>
    <cfRule type="cellIs" dxfId="7734" priority="9220" operator="between">
      <formula>0.95</formula>
      <formula>1</formula>
    </cfRule>
    <cfRule type="cellIs" dxfId="7733" priority="9221" stopIfTrue="1" operator="between">
      <formula>0</formula>
      <formula>0.5</formula>
    </cfRule>
  </conditionalFormatting>
  <conditionalFormatting sqref="Y307 AF307 R307 AH307:AI307">
    <cfRule type="cellIs" dxfId="7732" priority="9207" operator="between">
      <formula>0.76</formula>
      <formula>0.95</formula>
    </cfRule>
    <cfRule type="cellIs" dxfId="7731" priority="9208" operator="between">
      <formula>0.51</formula>
      <formula>0.75</formula>
    </cfRule>
    <cfRule type="cellIs" dxfId="7730" priority="9209" operator="greaterThan">
      <formula>1</formula>
    </cfRule>
    <cfRule type="cellIs" dxfId="7729" priority="9210" operator="between">
      <formula>0.95</formula>
      <formula>1</formula>
    </cfRule>
    <cfRule type="cellIs" dxfId="7728" priority="9211" stopIfTrue="1" operator="between">
      <formula>0</formula>
      <formula>0.5</formula>
    </cfRule>
  </conditionalFormatting>
  <conditionalFormatting sqref="T307">
    <cfRule type="cellIs" dxfId="7727" priority="9202" operator="between">
      <formula>0.3751</formula>
      <formula>0.475</formula>
    </cfRule>
    <cfRule type="cellIs" dxfId="7726" priority="9203" operator="between">
      <formula>0.2551</formula>
      <formula>0.375</formula>
    </cfRule>
    <cfRule type="cellIs" dxfId="7725" priority="9204" operator="greaterThan">
      <formula>0.505</formula>
    </cfRule>
    <cfRule type="cellIs" dxfId="7724" priority="9205" operator="between">
      <formula>0.48</formula>
      <formula>0.5</formula>
    </cfRule>
    <cfRule type="cellIs" dxfId="7723" priority="9206" stopIfTrue="1" operator="between">
      <formula>0</formula>
      <formula>0.255</formula>
    </cfRule>
  </conditionalFormatting>
  <conditionalFormatting sqref="AA307:AB307">
    <cfRule type="cellIs" dxfId="7722" priority="9197" operator="between">
      <formula>0.56251</formula>
      <formula>0.7125</formula>
    </cfRule>
    <cfRule type="cellIs" dxfId="7721" priority="9198" operator="between">
      <formula>0.3751</formula>
      <formula>0.5625</formula>
    </cfRule>
    <cfRule type="cellIs" dxfId="7720" priority="9199" operator="greaterThan">
      <formula>0.751</formula>
    </cfRule>
    <cfRule type="cellIs" dxfId="7719" priority="9200" operator="between">
      <formula>0.71251</formula>
      <formula>0.75</formula>
    </cfRule>
    <cfRule type="cellIs" dxfId="7718" priority="9201" stopIfTrue="1" operator="between">
      <formula>0</formula>
      <formula>0.375</formula>
    </cfRule>
  </conditionalFormatting>
  <conditionalFormatting sqref="U307">
    <cfRule type="cellIs" dxfId="7717" priority="9187" operator="between">
      <formula>0.376</formula>
      <formula>0.475</formula>
    </cfRule>
    <cfRule type="cellIs" dxfId="7716" priority="9188" operator="between">
      <formula>0.2551</formula>
      <formula>0.3751</formula>
    </cfRule>
    <cfRule type="cellIs" dxfId="7715" priority="9189" operator="greaterThan">
      <formula>0.505</formula>
    </cfRule>
    <cfRule type="cellIs" dxfId="7714" priority="9190" operator="between">
      <formula>0.48</formula>
      <formula>0.5</formula>
    </cfRule>
    <cfRule type="cellIs" dxfId="7713" priority="9191" stopIfTrue="1" operator="between">
      <formula>0</formula>
      <formula>0.255</formula>
    </cfRule>
  </conditionalFormatting>
  <conditionalFormatting sqref="S307">
    <cfRule type="cellIs" dxfId="7712" priority="9174" operator="between">
      <formula>0.76</formula>
      <formula>0.95</formula>
    </cfRule>
    <cfRule type="cellIs" dxfId="7711" priority="9175" operator="between">
      <formula>0.51</formula>
      <formula>0.75</formula>
    </cfRule>
    <cfRule type="cellIs" dxfId="7710" priority="9176" operator="greaterThan">
      <formula>1</formula>
    </cfRule>
    <cfRule type="cellIs" dxfId="7709" priority="9177" operator="between">
      <formula>0.95</formula>
      <formula>1</formula>
    </cfRule>
    <cfRule type="cellIs" dxfId="7708" priority="9178" stopIfTrue="1" operator="between">
      <formula>0</formula>
      <formula>0.5</formula>
    </cfRule>
  </conditionalFormatting>
  <conditionalFormatting sqref="V307">
    <cfRule type="cellIs" dxfId="7707" priority="9169" operator="between">
      <formula>0.376</formula>
      <formula>0.475</formula>
    </cfRule>
    <cfRule type="cellIs" dxfId="7706" priority="9170" operator="between">
      <formula>0.2551</formula>
      <formula>0.3751</formula>
    </cfRule>
    <cfRule type="cellIs" dxfId="7705" priority="9171" operator="greaterThan">
      <formula>0.505</formula>
    </cfRule>
    <cfRule type="cellIs" dxfId="7704" priority="9172" operator="between">
      <formula>0.48</formula>
      <formula>0.5</formula>
    </cfRule>
    <cfRule type="cellIs" dxfId="7703" priority="9173" stopIfTrue="1" operator="between">
      <formula>0</formula>
      <formula>0.255</formula>
    </cfRule>
  </conditionalFormatting>
  <conditionalFormatting sqref="AC307">
    <cfRule type="cellIs" dxfId="7702" priority="9164" operator="between">
      <formula>0.56251</formula>
      <formula>0.7125</formula>
    </cfRule>
    <cfRule type="cellIs" dxfId="7701" priority="9165" operator="between">
      <formula>0.3751</formula>
      <formula>0.5625</formula>
    </cfRule>
    <cfRule type="cellIs" dxfId="7700" priority="9166" operator="greaterThan">
      <formula>0.751</formula>
    </cfRule>
    <cfRule type="cellIs" dxfId="7699" priority="9167" operator="between">
      <formula>0.71251</formula>
      <formula>0.75</formula>
    </cfRule>
    <cfRule type="cellIs" dxfId="7698" priority="9168" stopIfTrue="1" operator="between">
      <formula>0</formula>
      <formula>0.375</formula>
    </cfRule>
  </conditionalFormatting>
  <conditionalFormatting sqref="AG307">
    <cfRule type="cellIs" dxfId="7697" priority="9159" operator="between">
      <formula>0.76</formula>
      <formula>0.95</formula>
    </cfRule>
    <cfRule type="cellIs" dxfId="7696" priority="9160" operator="between">
      <formula>0.51</formula>
      <formula>0.75</formula>
    </cfRule>
    <cfRule type="cellIs" dxfId="7695" priority="9161" operator="greaterThan">
      <formula>1</formula>
    </cfRule>
    <cfRule type="cellIs" dxfId="7694" priority="9162" operator="between">
      <formula>0.95</formula>
      <formula>1</formula>
    </cfRule>
    <cfRule type="cellIs" dxfId="7693" priority="9163" stopIfTrue="1" operator="between">
      <formula>0</formula>
      <formula>0.5</formula>
    </cfRule>
  </conditionalFormatting>
  <conditionalFormatting sqref="Z307">
    <cfRule type="cellIs" dxfId="7692" priority="9154" operator="between">
      <formula>0.76</formula>
      <formula>0.95</formula>
    </cfRule>
    <cfRule type="cellIs" dxfId="7691" priority="9155" operator="between">
      <formula>0.51</formula>
      <formula>0.75</formula>
    </cfRule>
    <cfRule type="cellIs" dxfId="7690" priority="9156" operator="greaterThan">
      <formula>1</formula>
    </cfRule>
    <cfRule type="cellIs" dxfId="7689" priority="9157" operator="between">
      <formula>0.95</formula>
      <formula>1</formula>
    </cfRule>
    <cfRule type="cellIs" dxfId="7688" priority="9158" stopIfTrue="1" operator="between">
      <formula>0</formula>
      <formula>0.5</formula>
    </cfRule>
  </conditionalFormatting>
  <conditionalFormatting sqref="Y305 AF305 R305 AH305:AI305">
    <cfRule type="cellIs" dxfId="7687" priority="9144" operator="between">
      <formula>0.76</formula>
      <formula>0.95</formula>
    </cfRule>
    <cfRule type="cellIs" dxfId="7686" priority="9145" operator="between">
      <formula>0.51</formula>
      <formula>0.75</formula>
    </cfRule>
    <cfRule type="cellIs" dxfId="7685" priority="9146" operator="greaterThan">
      <formula>1</formula>
    </cfRule>
    <cfRule type="cellIs" dxfId="7684" priority="9147" operator="between">
      <formula>0.95</formula>
      <formula>1</formula>
    </cfRule>
    <cfRule type="cellIs" dxfId="7683" priority="9148" stopIfTrue="1" operator="between">
      <formula>0</formula>
      <formula>0.5</formula>
    </cfRule>
  </conditionalFormatting>
  <conditionalFormatting sqref="T305">
    <cfRule type="cellIs" dxfId="7682" priority="9139" operator="between">
      <formula>0.3751</formula>
      <formula>0.475</formula>
    </cfRule>
    <cfRule type="cellIs" dxfId="7681" priority="9140" operator="between">
      <formula>0.2551</formula>
      <formula>0.375</formula>
    </cfRule>
    <cfRule type="cellIs" dxfId="7680" priority="9141" operator="greaterThan">
      <formula>0.505</formula>
    </cfRule>
    <cfRule type="cellIs" dxfId="7679" priority="9142" operator="between">
      <formula>0.48</formula>
      <formula>0.5</formula>
    </cfRule>
    <cfRule type="cellIs" dxfId="7678" priority="9143" stopIfTrue="1" operator="between">
      <formula>0</formula>
      <formula>0.255</formula>
    </cfRule>
  </conditionalFormatting>
  <conditionalFormatting sqref="AA305:AB305">
    <cfRule type="cellIs" dxfId="7677" priority="9134" operator="between">
      <formula>0.56251</formula>
      <formula>0.7125</formula>
    </cfRule>
    <cfRule type="cellIs" dxfId="7676" priority="9135" operator="between">
      <formula>0.3751</formula>
      <formula>0.5625</formula>
    </cfRule>
    <cfRule type="cellIs" dxfId="7675" priority="9136" operator="greaterThan">
      <formula>0.751</formula>
    </cfRule>
    <cfRule type="cellIs" dxfId="7674" priority="9137" operator="between">
      <formula>0.71251</formula>
      <formula>0.75</formula>
    </cfRule>
    <cfRule type="cellIs" dxfId="7673" priority="9138" stopIfTrue="1" operator="between">
      <formula>0</formula>
      <formula>0.375</formula>
    </cfRule>
  </conditionalFormatting>
  <conditionalFormatting sqref="U305">
    <cfRule type="cellIs" dxfId="7672" priority="9124" operator="between">
      <formula>0.376</formula>
      <formula>0.475</formula>
    </cfRule>
    <cfRule type="cellIs" dxfId="7671" priority="9125" operator="between">
      <formula>0.2551</formula>
      <formula>0.3751</formula>
    </cfRule>
    <cfRule type="cellIs" dxfId="7670" priority="9126" operator="greaterThan">
      <formula>0.505</formula>
    </cfRule>
    <cfRule type="cellIs" dxfId="7669" priority="9127" operator="between">
      <formula>0.48</formula>
      <formula>0.5</formula>
    </cfRule>
    <cfRule type="cellIs" dxfId="7668" priority="9128" stopIfTrue="1" operator="between">
      <formula>0</formula>
      <formula>0.255</formula>
    </cfRule>
  </conditionalFormatting>
  <conditionalFormatting sqref="S305">
    <cfRule type="cellIs" dxfId="7667" priority="9111" operator="between">
      <formula>0.76</formula>
      <formula>0.95</formula>
    </cfRule>
    <cfRule type="cellIs" dxfId="7666" priority="9112" operator="between">
      <formula>0.51</formula>
      <formula>0.75</formula>
    </cfRule>
    <cfRule type="cellIs" dxfId="7665" priority="9113" operator="greaterThan">
      <formula>1</formula>
    </cfRule>
    <cfRule type="cellIs" dxfId="7664" priority="9114" operator="between">
      <formula>0.95</formula>
      <formula>1</formula>
    </cfRule>
    <cfRule type="cellIs" dxfId="7663" priority="9115" stopIfTrue="1" operator="between">
      <formula>0</formula>
      <formula>0.5</formula>
    </cfRule>
  </conditionalFormatting>
  <conditionalFormatting sqref="V305">
    <cfRule type="cellIs" dxfId="7662" priority="9106" operator="between">
      <formula>0.376</formula>
      <formula>0.475</formula>
    </cfRule>
    <cfRule type="cellIs" dxfId="7661" priority="9107" operator="between">
      <formula>0.2551</formula>
      <formula>0.3751</formula>
    </cfRule>
    <cfRule type="cellIs" dxfId="7660" priority="9108" operator="greaterThan">
      <formula>0.505</formula>
    </cfRule>
    <cfRule type="cellIs" dxfId="7659" priority="9109" operator="between">
      <formula>0.48</formula>
      <formula>0.5</formula>
    </cfRule>
    <cfRule type="cellIs" dxfId="7658" priority="9110" stopIfTrue="1" operator="between">
      <formula>0</formula>
      <formula>0.255</formula>
    </cfRule>
  </conditionalFormatting>
  <conditionalFormatting sqref="AC305">
    <cfRule type="cellIs" dxfId="7657" priority="9101" operator="between">
      <formula>0.56251</formula>
      <formula>0.7125</formula>
    </cfRule>
    <cfRule type="cellIs" dxfId="7656" priority="9102" operator="between">
      <formula>0.3751</formula>
      <formula>0.5625</formula>
    </cfRule>
    <cfRule type="cellIs" dxfId="7655" priority="9103" operator="greaterThan">
      <formula>0.751</formula>
    </cfRule>
    <cfRule type="cellIs" dxfId="7654" priority="9104" operator="between">
      <formula>0.71251</formula>
      <formula>0.75</formula>
    </cfRule>
    <cfRule type="cellIs" dxfId="7653" priority="9105" stopIfTrue="1" operator="between">
      <formula>0</formula>
      <formula>0.375</formula>
    </cfRule>
  </conditionalFormatting>
  <conditionalFormatting sqref="AG305">
    <cfRule type="cellIs" dxfId="7652" priority="9096" operator="between">
      <formula>0.76</formula>
      <formula>0.95</formula>
    </cfRule>
    <cfRule type="cellIs" dxfId="7651" priority="9097" operator="between">
      <formula>0.51</formula>
      <formula>0.75</formula>
    </cfRule>
    <cfRule type="cellIs" dxfId="7650" priority="9098" operator="greaterThan">
      <formula>1</formula>
    </cfRule>
    <cfRule type="cellIs" dxfId="7649" priority="9099" operator="between">
      <formula>0.95</formula>
      <formula>1</formula>
    </cfRule>
    <cfRule type="cellIs" dxfId="7648" priority="9100" stopIfTrue="1" operator="between">
      <formula>0</formula>
      <formula>0.5</formula>
    </cfRule>
  </conditionalFormatting>
  <conditionalFormatting sqref="Z305">
    <cfRule type="cellIs" dxfId="7647" priority="9091" operator="between">
      <formula>0.76</formula>
      <formula>0.95</formula>
    </cfRule>
    <cfRule type="cellIs" dxfId="7646" priority="9092" operator="between">
      <formula>0.51</formula>
      <formula>0.75</formula>
    </cfRule>
    <cfRule type="cellIs" dxfId="7645" priority="9093" operator="greaterThan">
      <formula>1</formula>
    </cfRule>
    <cfRule type="cellIs" dxfId="7644" priority="9094" operator="between">
      <formula>0.95</formula>
      <formula>1</formula>
    </cfRule>
    <cfRule type="cellIs" dxfId="7643" priority="9095" stopIfTrue="1" operator="between">
      <formula>0</formula>
      <formula>0.5</formula>
    </cfRule>
  </conditionalFormatting>
  <conditionalFormatting sqref="AH133">
    <cfRule type="cellIs" dxfId="7642" priority="9041" operator="between">
      <formula>0.76</formula>
      <formula>0.95</formula>
    </cfRule>
    <cfRule type="cellIs" dxfId="7641" priority="9042" operator="between">
      <formula>0.51</formula>
      <formula>0.75</formula>
    </cfRule>
    <cfRule type="cellIs" dxfId="7640" priority="9043" operator="greaterThan">
      <formula>1</formula>
    </cfRule>
    <cfRule type="cellIs" dxfId="7639" priority="9044" operator="between">
      <formula>0.95</formula>
      <formula>1</formula>
    </cfRule>
    <cfRule type="cellIs" dxfId="7638" priority="9045" stopIfTrue="1" operator="between">
      <formula>0</formula>
      <formula>0.5</formula>
    </cfRule>
  </conditionalFormatting>
  <conditionalFormatting sqref="M208">
    <cfRule type="cellIs" dxfId="7637" priority="7419" operator="between">
      <formula>0.1876</formula>
      <formula>0.2375</formula>
    </cfRule>
    <cfRule type="cellIs" dxfId="7636" priority="7420" operator="between">
      <formula>0.1251</formula>
      <formula>0.1875</formula>
    </cfRule>
    <cfRule type="cellIs" dxfId="7635" priority="7421" operator="greaterThan">
      <formula>0.25</formula>
    </cfRule>
    <cfRule type="cellIs" dxfId="7634" priority="7422" operator="between">
      <formula>0.2376</formula>
      <formula>0.25</formula>
    </cfRule>
    <cfRule type="cellIs" dxfId="7633" priority="7423" stopIfTrue="1" operator="between">
      <formula>0</formula>
      <formula>0.125</formula>
    </cfRule>
  </conditionalFormatting>
  <conditionalFormatting sqref="N208">
    <cfRule type="cellIs" dxfId="7632" priority="7414" operator="between">
      <formula>0.191</formula>
      <formula>0.24</formula>
    </cfRule>
    <cfRule type="cellIs" dxfId="7631" priority="7415" operator="between">
      <formula>0.1251</formula>
      <formula>0.19</formula>
    </cfRule>
    <cfRule type="cellIs" dxfId="7630" priority="7416" operator="greaterThan">
      <formula>0.2601</formula>
    </cfRule>
    <cfRule type="cellIs" dxfId="7629" priority="7417" operator="between">
      <formula>0.2401</formula>
      <formula>0.26</formula>
    </cfRule>
    <cfRule type="cellIs" dxfId="7628" priority="7418" stopIfTrue="1" operator="between">
      <formula>0</formula>
      <formula>0.125</formula>
    </cfRule>
  </conditionalFormatting>
  <conditionalFormatting sqref="S133">
    <cfRule type="cellIs" dxfId="7627" priority="7409" operator="between">
      <formula>0.76</formula>
      <formula>0.95</formula>
    </cfRule>
    <cfRule type="cellIs" dxfId="7626" priority="7410" operator="between">
      <formula>0.51</formula>
      <formula>0.75</formula>
    </cfRule>
    <cfRule type="cellIs" dxfId="7625" priority="7411" operator="greaterThan">
      <formula>1</formula>
    </cfRule>
    <cfRule type="cellIs" dxfId="7624" priority="7412" operator="between">
      <formula>0.95</formula>
      <formula>1</formula>
    </cfRule>
    <cfRule type="cellIs" dxfId="7623" priority="7413" stopIfTrue="1" operator="between">
      <formula>0</formula>
      <formula>0.5</formula>
    </cfRule>
  </conditionalFormatting>
  <conditionalFormatting sqref="Z133">
    <cfRule type="cellIs" dxfId="7622" priority="7399" operator="between">
      <formula>0.76</formula>
      <formula>0.95</formula>
    </cfRule>
    <cfRule type="cellIs" dxfId="7621" priority="7400" operator="between">
      <formula>0.51</formula>
      <formula>0.75</formula>
    </cfRule>
    <cfRule type="cellIs" dxfId="7620" priority="7401" operator="greaterThan">
      <formula>1</formula>
    </cfRule>
    <cfRule type="cellIs" dxfId="7619" priority="7402" operator="between">
      <formula>0.95</formula>
      <formula>1</formula>
    </cfRule>
    <cfRule type="cellIs" dxfId="7618" priority="7403" stopIfTrue="1" operator="between">
      <formula>0</formula>
      <formula>0.5</formula>
    </cfRule>
  </conditionalFormatting>
  <conditionalFormatting sqref="AG133">
    <cfRule type="cellIs" dxfId="7617" priority="7389" operator="between">
      <formula>0.76</formula>
      <formula>0.95</formula>
    </cfRule>
    <cfRule type="cellIs" dxfId="7616" priority="7390" operator="between">
      <formula>0.51</formula>
      <formula>0.75</formula>
    </cfRule>
    <cfRule type="cellIs" dxfId="7615" priority="7391" operator="greaterThan">
      <formula>1</formula>
    </cfRule>
    <cfRule type="cellIs" dxfId="7614" priority="7392" operator="between">
      <formula>0.95</formula>
      <formula>1</formula>
    </cfRule>
    <cfRule type="cellIs" dxfId="7613" priority="7393" stopIfTrue="1" operator="between">
      <formula>0</formula>
      <formula>0.5</formula>
    </cfRule>
  </conditionalFormatting>
  <conditionalFormatting sqref="S208">
    <cfRule type="cellIs" dxfId="7612" priority="7384" operator="between">
      <formula>0.76</formula>
      <formula>0.95</formula>
    </cfRule>
    <cfRule type="cellIs" dxfId="7611" priority="7385" operator="between">
      <formula>0.51</formula>
      <formula>0.75</formula>
    </cfRule>
    <cfRule type="cellIs" dxfId="7610" priority="7386" operator="greaterThan">
      <formula>1</formula>
    </cfRule>
    <cfRule type="cellIs" dxfId="7609" priority="7387" operator="between">
      <formula>0.95</formula>
      <formula>1</formula>
    </cfRule>
    <cfRule type="cellIs" dxfId="7608" priority="7388" stopIfTrue="1" operator="between">
      <formula>0</formula>
      <formula>0.5</formula>
    </cfRule>
  </conditionalFormatting>
  <conditionalFormatting sqref="Z208">
    <cfRule type="cellIs" dxfId="7607" priority="7369" operator="between">
      <formula>0.76</formula>
      <formula>0.95</formula>
    </cfRule>
    <cfRule type="cellIs" dxfId="7606" priority="7370" operator="between">
      <formula>0.51</formula>
      <formula>0.75</formula>
    </cfRule>
    <cfRule type="cellIs" dxfId="7605" priority="7371" operator="greaterThan">
      <formula>1</formula>
    </cfRule>
    <cfRule type="cellIs" dxfId="7604" priority="7372" operator="between">
      <formula>0.95</formula>
      <formula>1</formula>
    </cfRule>
    <cfRule type="cellIs" dxfId="7603" priority="7373" stopIfTrue="1" operator="between">
      <formula>0</formula>
      <formula>0.5</formula>
    </cfRule>
  </conditionalFormatting>
  <conditionalFormatting sqref="AG208">
    <cfRule type="cellIs" dxfId="7602" priority="7354" operator="between">
      <formula>0.76</formula>
      <formula>0.95</formula>
    </cfRule>
    <cfRule type="cellIs" dxfId="7601" priority="7355" operator="between">
      <formula>0.51</formula>
      <formula>0.75</formula>
    </cfRule>
    <cfRule type="cellIs" dxfId="7600" priority="7356" operator="greaterThan">
      <formula>1</formula>
    </cfRule>
    <cfRule type="cellIs" dxfId="7599" priority="7357" operator="between">
      <formula>0.95</formula>
      <formula>1</formula>
    </cfRule>
    <cfRule type="cellIs" dxfId="7598" priority="7358" stopIfTrue="1" operator="between">
      <formula>0</formula>
      <formula>0.5</formula>
    </cfRule>
  </conditionalFormatting>
  <conditionalFormatting sqref="AH208">
    <cfRule type="cellIs" dxfId="7597" priority="7349" operator="between">
      <formula>0.76</formula>
      <formula>0.95</formula>
    </cfRule>
    <cfRule type="cellIs" dxfId="7596" priority="7350" operator="between">
      <formula>0.51</formula>
      <formula>0.75</formula>
    </cfRule>
    <cfRule type="cellIs" dxfId="7595" priority="7351" operator="greaterThan">
      <formula>1</formula>
    </cfRule>
    <cfRule type="cellIs" dxfId="7594" priority="7352" operator="between">
      <formula>0.95</formula>
      <formula>1</formula>
    </cfRule>
    <cfRule type="cellIs" dxfId="7593" priority="7353" stopIfTrue="1" operator="between">
      <formula>0</formula>
      <formula>0.5</formula>
    </cfRule>
  </conditionalFormatting>
  <conditionalFormatting sqref="M308">
    <cfRule type="cellIs" dxfId="7592" priority="7259" operator="between">
      <formula>0.1876</formula>
      <formula>0.2375</formula>
    </cfRule>
    <cfRule type="cellIs" dxfId="7591" priority="7260" operator="between">
      <formula>0.1251</formula>
      <formula>0.1875</formula>
    </cfRule>
    <cfRule type="cellIs" dxfId="7590" priority="7261" operator="greaterThan">
      <formula>0.25</formula>
    </cfRule>
    <cfRule type="cellIs" dxfId="7589" priority="7262" operator="between">
      <formula>0.2376</formula>
      <formula>0.25</formula>
    </cfRule>
    <cfRule type="cellIs" dxfId="7588" priority="7263" stopIfTrue="1" operator="between">
      <formula>0</formula>
      <formula>0.125</formula>
    </cfRule>
  </conditionalFormatting>
  <conditionalFormatting sqref="AH365:AH367">
    <cfRule type="cellIs" dxfId="7587" priority="6904" operator="between">
      <formula>0.76</formula>
      <formula>0.95</formula>
    </cfRule>
    <cfRule type="cellIs" dxfId="7586" priority="6905" operator="between">
      <formula>0.51</formula>
      <formula>0.75</formula>
    </cfRule>
    <cfRule type="cellIs" dxfId="7585" priority="6906" operator="greaterThan">
      <formula>1</formula>
    </cfRule>
    <cfRule type="cellIs" dxfId="7584" priority="6907" operator="between">
      <formula>0.95</formula>
      <formula>1</formula>
    </cfRule>
    <cfRule type="cellIs" dxfId="7583" priority="6908" stopIfTrue="1" operator="between">
      <formula>0</formula>
      <formula>0.5</formula>
    </cfRule>
  </conditionalFormatting>
  <conditionalFormatting sqref="R308">
    <cfRule type="cellIs" dxfId="7582" priority="7239" operator="between">
      <formula>0.76</formula>
      <formula>0.95</formula>
    </cfRule>
    <cfRule type="cellIs" dxfId="7581" priority="7240" operator="between">
      <formula>0.51</formula>
      <formula>0.75</formula>
    </cfRule>
    <cfRule type="cellIs" dxfId="7580" priority="7241" operator="greaterThan">
      <formula>1</formula>
    </cfRule>
    <cfRule type="cellIs" dxfId="7579" priority="7242" operator="between">
      <formula>0.95</formula>
      <formula>1</formula>
    </cfRule>
    <cfRule type="cellIs" dxfId="7578" priority="7243" stopIfTrue="1" operator="between">
      <formula>0</formula>
      <formula>0.5</formula>
    </cfRule>
  </conditionalFormatting>
  <conditionalFormatting sqref="S308">
    <cfRule type="cellIs" dxfId="7577" priority="7234" operator="between">
      <formula>0.76</formula>
      <formula>0.95</formula>
    </cfRule>
    <cfRule type="cellIs" dxfId="7576" priority="7235" operator="between">
      <formula>0.51</formula>
      <formula>0.75</formula>
    </cfRule>
    <cfRule type="cellIs" dxfId="7575" priority="7236" operator="greaterThan">
      <formula>1</formula>
    </cfRule>
    <cfRule type="cellIs" dxfId="7574" priority="7237" operator="between">
      <formula>0.95</formula>
      <formula>1</formula>
    </cfRule>
    <cfRule type="cellIs" dxfId="7573" priority="7238" stopIfTrue="1" operator="between">
      <formula>0</formula>
      <formula>0.5</formula>
    </cfRule>
  </conditionalFormatting>
  <conditionalFormatting sqref="Y308">
    <cfRule type="cellIs" dxfId="7572" priority="7219" operator="between">
      <formula>0.76</formula>
      <formula>0.95</formula>
    </cfRule>
    <cfRule type="cellIs" dxfId="7571" priority="7220" operator="between">
      <formula>0.51</formula>
      <formula>0.75</formula>
    </cfRule>
    <cfRule type="cellIs" dxfId="7570" priority="7221" operator="greaterThan">
      <formula>1</formula>
    </cfRule>
    <cfRule type="cellIs" dxfId="7569" priority="7222" operator="between">
      <formula>0.95</formula>
      <formula>1</formula>
    </cfRule>
    <cfRule type="cellIs" dxfId="7568" priority="7223" stopIfTrue="1" operator="between">
      <formula>0</formula>
      <formula>0.5</formula>
    </cfRule>
  </conditionalFormatting>
  <conditionalFormatting sqref="Z308">
    <cfRule type="cellIs" dxfId="7567" priority="7214" operator="between">
      <formula>0.76</formula>
      <formula>0.95</formula>
    </cfRule>
    <cfRule type="cellIs" dxfId="7566" priority="7215" operator="between">
      <formula>0.51</formula>
      <formula>0.75</formula>
    </cfRule>
    <cfRule type="cellIs" dxfId="7565" priority="7216" operator="greaterThan">
      <formula>1</formula>
    </cfRule>
    <cfRule type="cellIs" dxfId="7564" priority="7217" operator="between">
      <formula>0.95</formula>
      <formula>1</formula>
    </cfRule>
    <cfRule type="cellIs" dxfId="7563" priority="7218" stopIfTrue="1" operator="between">
      <formula>0</formula>
      <formula>0.5</formula>
    </cfRule>
  </conditionalFormatting>
  <conditionalFormatting sqref="AF308">
    <cfRule type="cellIs" dxfId="7562" priority="7199" operator="between">
      <formula>0.76</formula>
      <formula>0.95</formula>
    </cfRule>
    <cfRule type="cellIs" dxfId="7561" priority="7200" operator="between">
      <formula>0.51</formula>
      <formula>0.75</formula>
    </cfRule>
    <cfRule type="cellIs" dxfId="7560" priority="7201" operator="greaterThan">
      <formula>1</formula>
    </cfRule>
    <cfRule type="cellIs" dxfId="7559" priority="7202" operator="between">
      <formula>0.95</formula>
      <formula>1</formula>
    </cfRule>
    <cfRule type="cellIs" dxfId="7558" priority="7203" stopIfTrue="1" operator="between">
      <formula>0</formula>
      <formula>0.5</formula>
    </cfRule>
  </conditionalFormatting>
  <conditionalFormatting sqref="AG308">
    <cfRule type="cellIs" dxfId="7557" priority="7194" operator="between">
      <formula>0.76</formula>
      <formula>0.95</formula>
    </cfRule>
    <cfRule type="cellIs" dxfId="7556" priority="7195" operator="between">
      <formula>0.51</formula>
      <formula>0.75</formula>
    </cfRule>
    <cfRule type="cellIs" dxfId="7555" priority="7196" operator="greaterThan">
      <formula>1</formula>
    </cfRule>
    <cfRule type="cellIs" dxfId="7554" priority="7197" operator="between">
      <formula>0.95</formula>
      <formula>1</formula>
    </cfRule>
    <cfRule type="cellIs" dxfId="7553" priority="7198" stopIfTrue="1" operator="between">
      <formula>0</formula>
      <formula>0.5</formula>
    </cfRule>
  </conditionalFormatting>
  <conditionalFormatting sqref="AH308">
    <cfRule type="cellIs" dxfId="7552" priority="7189" operator="between">
      <formula>0.76</formula>
      <formula>0.95</formula>
    </cfRule>
    <cfRule type="cellIs" dxfId="7551" priority="7190" operator="between">
      <formula>0.51</formula>
      <formula>0.75</formula>
    </cfRule>
    <cfRule type="cellIs" dxfId="7550" priority="7191" operator="greaterThan">
      <formula>1</formula>
    </cfRule>
    <cfRule type="cellIs" dxfId="7549" priority="7192" operator="between">
      <formula>0.95</formula>
      <formula>1</formula>
    </cfRule>
    <cfRule type="cellIs" dxfId="7548" priority="7193" stopIfTrue="1" operator="between">
      <formula>0</formula>
      <formula>0.5</formula>
    </cfRule>
  </conditionalFormatting>
  <conditionalFormatting sqref="M364">
    <cfRule type="cellIs" dxfId="7547" priority="7179" operator="between">
      <formula>0.1876</formula>
      <formula>0.2375</formula>
    </cfRule>
    <cfRule type="cellIs" dxfId="7546" priority="7180" operator="between">
      <formula>0.1251</formula>
      <formula>0.1875</formula>
    </cfRule>
    <cfRule type="cellIs" dxfId="7545" priority="7181" operator="greaterThan">
      <formula>0.25</formula>
    </cfRule>
    <cfRule type="cellIs" dxfId="7544" priority="7182" operator="between">
      <formula>0.2376</formula>
      <formula>0.25</formula>
    </cfRule>
    <cfRule type="cellIs" dxfId="7543" priority="7183" stopIfTrue="1" operator="between">
      <formula>0</formula>
      <formula>0.25</formula>
    </cfRule>
  </conditionalFormatting>
  <conditionalFormatting sqref="R364">
    <cfRule type="cellIs" dxfId="7542" priority="7169" operator="between">
      <formula>0.76</formula>
      <formula>0.95</formula>
    </cfRule>
    <cfRule type="cellIs" dxfId="7541" priority="7170" operator="between">
      <formula>0.51</formula>
      <formula>0.75</formula>
    </cfRule>
    <cfRule type="cellIs" dxfId="7540" priority="7171" operator="greaterThan">
      <formula>1</formula>
    </cfRule>
    <cfRule type="cellIs" dxfId="7539" priority="7172" operator="between">
      <formula>0.95</formula>
      <formula>1</formula>
    </cfRule>
    <cfRule type="cellIs" dxfId="7538" priority="7173" stopIfTrue="1" operator="between">
      <formula>0</formula>
      <formula>0.5</formula>
    </cfRule>
  </conditionalFormatting>
  <conditionalFormatting sqref="S364">
    <cfRule type="cellIs" dxfId="7537" priority="7164" operator="between">
      <formula>0.76</formula>
      <formula>0.95</formula>
    </cfRule>
    <cfRule type="cellIs" dxfId="7536" priority="7165" operator="between">
      <formula>0.51</formula>
      <formula>0.75</formula>
    </cfRule>
    <cfRule type="cellIs" dxfId="7535" priority="7166" operator="greaterThan">
      <formula>1</formula>
    </cfRule>
    <cfRule type="cellIs" dxfId="7534" priority="7167" operator="between">
      <formula>0.95</formula>
      <formula>1</formula>
    </cfRule>
    <cfRule type="cellIs" dxfId="7533" priority="7168" stopIfTrue="1" operator="between">
      <formula>0</formula>
      <formula>0.5</formula>
    </cfRule>
  </conditionalFormatting>
  <conditionalFormatting sqref="Y364">
    <cfRule type="cellIs" dxfId="7532" priority="7149" operator="between">
      <formula>0.76</formula>
      <formula>0.95</formula>
    </cfRule>
    <cfRule type="cellIs" dxfId="7531" priority="7150" operator="between">
      <formula>0.51</formula>
      <formula>0.75</formula>
    </cfRule>
    <cfRule type="cellIs" dxfId="7530" priority="7151" operator="greaterThan">
      <formula>1</formula>
    </cfRule>
    <cfRule type="cellIs" dxfId="7529" priority="7152" operator="between">
      <formula>0.95</formula>
      <formula>1</formula>
    </cfRule>
    <cfRule type="cellIs" dxfId="7528" priority="7153" stopIfTrue="1" operator="between">
      <formula>0</formula>
      <formula>0.5</formula>
    </cfRule>
  </conditionalFormatting>
  <conditionalFormatting sqref="Z364">
    <cfRule type="cellIs" dxfId="7527" priority="7144" operator="between">
      <formula>0.76</formula>
      <formula>0.95</formula>
    </cfRule>
    <cfRule type="cellIs" dxfId="7526" priority="7145" operator="between">
      <formula>0.51</formula>
      <formula>0.75</formula>
    </cfRule>
    <cfRule type="cellIs" dxfId="7525" priority="7146" operator="greaterThan">
      <formula>1</formula>
    </cfRule>
    <cfRule type="cellIs" dxfId="7524" priority="7147" operator="between">
      <formula>0.95</formula>
      <formula>1</formula>
    </cfRule>
    <cfRule type="cellIs" dxfId="7523" priority="7148" stopIfTrue="1" operator="between">
      <formula>0</formula>
      <formula>0.5</formula>
    </cfRule>
  </conditionalFormatting>
  <conditionalFormatting sqref="AF364">
    <cfRule type="cellIs" dxfId="7522" priority="7129" operator="between">
      <formula>0.76</formula>
      <formula>0.95</formula>
    </cfRule>
    <cfRule type="cellIs" dxfId="7521" priority="7130" operator="between">
      <formula>0.51</formula>
      <formula>0.75</formula>
    </cfRule>
    <cfRule type="cellIs" dxfId="7520" priority="7131" operator="greaterThan">
      <formula>1</formula>
    </cfRule>
    <cfRule type="cellIs" dxfId="7519" priority="7132" operator="between">
      <formula>0.95</formula>
      <formula>1</formula>
    </cfRule>
    <cfRule type="cellIs" dxfId="7518" priority="7133" stopIfTrue="1" operator="between">
      <formula>0</formula>
      <formula>0.5</formula>
    </cfRule>
  </conditionalFormatting>
  <conditionalFormatting sqref="AG364">
    <cfRule type="cellIs" dxfId="7517" priority="7124" operator="between">
      <formula>0.76</formula>
      <formula>0.95</formula>
    </cfRule>
    <cfRule type="cellIs" dxfId="7516" priority="7125" operator="between">
      <formula>0.51</formula>
      <formula>0.75</formula>
    </cfRule>
    <cfRule type="cellIs" dxfId="7515" priority="7126" operator="greaterThan">
      <formula>1</formula>
    </cfRule>
    <cfRule type="cellIs" dxfId="7514" priority="7127" operator="between">
      <formula>0.95</formula>
      <formula>1</formula>
    </cfRule>
    <cfRule type="cellIs" dxfId="7513" priority="7128" stopIfTrue="1" operator="between">
      <formula>0</formula>
      <formula>0.5</formula>
    </cfRule>
  </conditionalFormatting>
  <conditionalFormatting sqref="AH364">
    <cfRule type="cellIs" dxfId="7512" priority="7119" operator="between">
      <formula>0.7501</formula>
      <formula>0.95</formula>
    </cfRule>
    <cfRule type="cellIs" dxfId="7511" priority="7120" operator="between">
      <formula>0.51</formula>
      <formula>0.75</formula>
    </cfRule>
    <cfRule type="cellIs" dxfId="7510" priority="7121" operator="greaterThan">
      <formula>1</formula>
    </cfRule>
    <cfRule type="cellIs" dxfId="7509" priority="7122" operator="between">
      <formula>0.95</formula>
      <formula>1</formula>
    </cfRule>
    <cfRule type="cellIs" dxfId="7508" priority="7123" stopIfTrue="1" operator="between">
      <formula>0</formula>
      <formula>0.5</formula>
    </cfRule>
  </conditionalFormatting>
  <conditionalFormatting sqref="AI133">
    <cfRule type="cellIs" dxfId="7507" priority="6889" operator="between">
      <formula>0.76</formula>
      <formula>0.95</formula>
    </cfRule>
    <cfRule type="cellIs" dxfId="7506" priority="6890" operator="between">
      <formula>0.51</formula>
      <formula>0.75</formula>
    </cfRule>
    <cfRule type="cellIs" dxfId="7505" priority="6891" operator="greaterThan">
      <formula>1</formula>
    </cfRule>
    <cfRule type="cellIs" dxfId="7504" priority="6892" operator="between">
      <formula>0.95</formula>
      <formula>1</formula>
    </cfRule>
    <cfRule type="cellIs" dxfId="7503" priority="6893" stopIfTrue="1" operator="between">
      <formula>0</formula>
      <formula>0.5</formula>
    </cfRule>
  </conditionalFormatting>
  <conditionalFormatting sqref="Y365:Y367">
    <cfRule type="cellIs" dxfId="7502" priority="6959" operator="between">
      <formula>0.76</formula>
      <formula>0.95</formula>
    </cfRule>
    <cfRule type="cellIs" dxfId="7501" priority="6960" operator="between">
      <formula>0.51</formula>
      <formula>0.75</formula>
    </cfRule>
    <cfRule type="cellIs" dxfId="7500" priority="6961" operator="greaterThan">
      <formula>1</formula>
    </cfRule>
    <cfRule type="cellIs" dxfId="7499" priority="6962" operator="between">
      <formula>0.95</formula>
      <formula>1</formula>
    </cfRule>
    <cfRule type="cellIs" dxfId="7498" priority="6963" stopIfTrue="1" operator="between">
      <formula>0</formula>
      <formula>0.5</formula>
    </cfRule>
  </conditionalFormatting>
  <conditionalFormatting sqref="AI308">
    <cfRule type="cellIs" dxfId="7497" priority="6849" operator="between">
      <formula>0.76</formula>
      <formula>0.95</formula>
    </cfRule>
    <cfRule type="cellIs" dxfId="7496" priority="6850" operator="between">
      <formula>0.51</formula>
      <formula>0.75</formula>
    </cfRule>
    <cfRule type="cellIs" dxfId="7495" priority="6851" operator="greaterThan">
      <formula>1</formula>
    </cfRule>
    <cfRule type="cellIs" dxfId="7494" priority="6852" operator="between">
      <formula>0.95</formula>
      <formula>1</formula>
    </cfRule>
    <cfRule type="cellIs" dxfId="7493" priority="6853" stopIfTrue="1" operator="between">
      <formula>0</formula>
      <formula>0.5</formula>
    </cfRule>
  </conditionalFormatting>
  <conditionalFormatting sqref="AI365:AI367">
    <cfRule type="cellIs" dxfId="7492" priority="6919" operator="between">
      <formula>0.76</formula>
      <formula>0.95</formula>
    </cfRule>
    <cfRule type="cellIs" dxfId="7491" priority="6920" operator="between">
      <formula>0.51</formula>
      <formula>0.75</formula>
    </cfRule>
    <cfRule type="cellIs" dxfId="7490" priority="6921" operator="greaterThan">
      <formula>1</formula>
    </cfRule>
    <cfRule type="cellIs" dxfId="7489" priority="6922" operator="between">
      <formula>0.95</formula>
      <formula>1</formula>
    </cfRule>
    <cfRule type="cellIs" dxfId="7488" priority="6923" stopIfTrue="1" operator="between">
      <formula>0</formula>
      <formula>0.5</formula>
    </cfRule>
  </conditionalFormatting>
  <conditionalFormatting sqref="AF365:AF367">
    <cfRule type="cellIs" dxfId="7487" priority="6914" operator="between">
      <formula>0.76</formula>
      <formula>0.95</formula>
    </cfRule>
    <cfRule type="cellIs" dxfId="7486" priority="6915" operator="between">
      <formula>0.51</formula>
      <formula>0.75</formula>
    </cfRule>
    <cfRule type="cellIs" dxfId="7485" priority="6916" operator="greaterThan">
      <formula>1</formula>
    </cfRule>
    <cfRule type="cellIs" dxfId="7484" priority="6917" operator="between">
      <formula>0.95</formula>
      <formula>1</formula>
    </cfRule>
    <cfRule type="cellIs" dxfId="7483" priority="6918" stopIfTrue="1" operator="between">
      <formula>0</formula>
      <formula>0.5</formula>
    </cfRule>
  </conditionalFormatting>
  <conditionalFormatting sqref="AG365:AG367">
    <cfRule type="cellIs" dxfId="7482" priority="6909" operator="between">
      <formula>0.76</formula>
      <formula>0.95</formula>
    </cfRule>
    <cfRule type="cellIs" dxfId="7481" priority="6910" operator="between">
      <formula>0.51</formula>
      <formula>0.75</formula>
    </cfRule>
    <cfRule type="cellIs" dxfId="7480" priority="6911" operator="greaterThan">
      <formula>1</formula>
    </cfRule>
    <cfRule type="cellIs" dxfId="7479" priority="6912" operator="between">
      <formula>0.95</formula>
      <formula>1</formula>
    </cfRule>
    <cfRule type="cellIs" dxfId="7478" priority="6913" stopIfTrue="1" operator="between">
      <formula>0</formula>
      <formula>0.5</formula>
    </cfRule>
  </conditionalFormatting>
  <conditionalFormatting sqref="V365">
    <cfRule type="cellIs" dxfId="7477" priority="7039" operator="between">
      <formula>0.376</formula>
      <formula>0.475</formula>
    </cfRule>
    <cfRule type="cellIs" dxfId="7476" priority="7040" operator="between">
      <formula>0.2551</formula>
      <formula>0.3751</formula>
    </cfRule>
    <cfRule type="cellIs" dxfId="7475" priority="7041" operator="greaterThan">
      <formula>0.505</formula>
    </cfRule>
    <cfRule type="cellIs" dxfId="7474" priority="7042" operator="between">
      <formula>0.48</formula>
      <formula>0.5</formula>
    </cfRule>
    <cfRule type="cellIs" dxfId="7473" priority="7043" stopIfTrue="1" operator="between">
      <formula>0</formula>
      <formula>0.255</formula>
    </cfRule>
  </conditionalFormatting>
  <conditionalFormatting sqref="R365:R367">
    <cfRule type="cellIs" dxfId="7472" priority="7034" operator="between">
      <formula>0.76</formula>
      <formula>0.95</formula>
    </cfRule>
    <cfRule type="cellIs" dxfId="7471" priority="7035" operator="between">
      <formula>0.51</formula>
      <formula>0.75</formula>
    </cfRule>
    <cfRule type="cellIs" dxfId="7470" priority="7036" operator="greaterThan">
      <formula>1</formula>
    </cfRule>
    <cfRule type="cellIs" dxfId="7469" priority="7037" operator="between">
      <formula>0.95</formula>
      <formula>1</formula>
    </cfRule>
    <cfRule type="cellIs" dxfId="7468" priority="7038" stopIfTrue="1" operator="between">
      <formula>0</formula>
      <formula>0.5</formula>
    </cfRule>
  </conditionalFormatting>
  <conditionalFormatting sqref="S365">
    <cfRule type="cellIs" dxfId="7467" priority="7029" operator="between">
      <formula>0.76</formula>
      <formula>0.95</formula>
    </cfRule>
    <cfRule type="cellIs" dxfId="7466" priority="7030" operator="between">
      <formula>0.51</formula>
      <formula>0.75</formula>
    </cfRule>
    <cfRule type="cellIs" dxfId="7465" priority="7031" operator="greaterThan">
      <formula>1</formula>
    </cfRule>
    <cfRule type="cellIs" dxfId="7464" priority="7032" operator="between">
      <formula>0.95</formula>
      <formula>1</formula>
    </cfRule>
    <cfRule type="cellIs" dxfId="7463" priority="7033" stopIfTrue="1" operator="between">
      <formula>0</formula>
      <formula>0.5</formula>
    </cfRule>
  </conditionalFormatting>
  <conditionalFormatting sqref="T365:T366">
    <cfRule type="cellIs" dxfId="7462" priority="7024" operator="between">
      <formula>0.37505</formula>
      <formula>0.475</formula>
    </cfRule>
    <cfRule type="cellIs" dxfId="7461" priority="7025" operator="between">
      <formula>0.2505</formula>
      <formula>0.375</formula>
    </cfRule>
    <cfRule type="cellIs" dxfId="7460" priority="7026" operator="greaterThan">
      <formula>0.505</formula>
    </cfRule>
    <cfRule type="cellIs" dxfId="7459" priority="7027" operator="between">
      <formula>0.47505</formula>
      <formula>0.5</formula>
    </cfRule>
    <cfRule type="cellIs" dxfId="7458" priority="7028" stopIfTrue="1" operator="between">
      <formula>0</formula>
      <formula>0.25</formula>
    </cfRule>
  </conditionalFormatting>
  <conditionalFormatting sqref="U365">
    <cfRule type="cellIs" dxfId="7457" priority="7019" operator="between">
      <formula>0.191</formula>
      <formula>0.24</formula>
    </cfRule>
    <cfRule type="cellIs" dxfId="7456" priority="7020" operator="between">
      <formula>0.1251</formula>
      <formula>0.19</formula>
    </cfRule>
    <cfRule type="cellIs" dxfId="7455" priority="7021" operator="greaterThan">
      <formula>0.2601</formula>
    </cfRule>
    <cfRule type="cellIs" dxfId="7454" priority="7022" operator="between">
      <formula>0.2401</formula>
      <formula>0.26</formula>
    </cfRule>
    <cfRule type="cellIs" dxfId="7453" priority="7023" stopIfTrue="1" operator="between">
      <formula>0</formula>
      <formula>0.125</formula>
    </cfRule>
  </conditionalFormatting>
  <conditionalFormatting sqref="AI364">
    <cfRule type="cellIs" dxfId="7452" priority="6834" operator="between">
      <formula>0.7501</formula>
      <formula>0.95</formula>
    </cfRule>
    <cfRule type="cellIs" dxfId="7451" priority="6835" operator="between">
      <formula>0.51</formula>
      <formula>0.75</formula>
    </cfRule>
    <cfRule type="cellIs" dxfId="7450" priority="6836" operator="greaterThan">
      <formula>1</formula>
    </cfRule>
    <cfRule type="cellIs" dxfId="7449" priority="6837" operator="between">
      <formula>0.95</formula>
      <formula>1</formula>
    </cfRule>
    <cfRule type="cellIs" dxfId="7448" priority="6838" stopIfTrue="1" operator="between">
      <formula>0</formula>
      <formula>0.5</formula>
    </cfRule>
  </conditionalFormatting>
  <conditionalFormatting sqref="O208">
    <cfRule type="cellIs" dxfId="7447" priority="6884" operator="between">
      <formula>0.1876</formula>
      <formula>0.2375</formula>
    </cfRule>
    <cfRule type="cellIs" dxfId="7446" priority="6885" operator="between">
      <formula>0.1251</formula>
      <formula>0.1875</formula>
    </cfRule>
    <cfRule type="cellIs" dxfId="7445" priority="6886" operator="greaterThan">
      <formula>0.25</formula>
    </cfRule>
    <cfRule type="cellIs" dxfId="7444" priority="6887" operator="between">
      <formula>0.2376</formula>
      <formula>0.25</formula>
    </cfRule>
    <cfRule type="cellIs" dxfId="7443" priority="6888" stopIfTrue="1" operator="between">
      <formula>0</formula>
      <formula>0.125</formula>
    </cfRule>
  </conditionalFormatting>
  <conditionalFormatting sqref="Z365:Z367">
    <cfRule type="cellIs" dxfId="7442" priority="6954" operator="between">
      <formula>0.76</formula>
      <formula>0.95</formula>
    </cfRule>
    <cfRule type="cellIs" dxfId="7441" priority="6955" operator="between">
      <formula>0.51</formula>
      <formula>0.75</formula>
    </cfRule>
    <cfRule type="cellIs" dxfId="7440" priority="6956" operator="greaterThan">
      <formula>1</formula>
    </cfRule>
    <cfRule type="cellIs" dxfId="7439" priority="6957" operator="between">
      <formula>0.95</formula>
      <formula>1</formula>
    </cfRule>
    <cfRule type="cellIs" dxfId="7438" priority="6958" stopIfTrue="1" operator="between">
      <formula>0</formula>
      <formula>0.5</formula>
    </cfRule>
  </conditionalFormatting>
  <conditionalFormatting sqref="AI208">
    <cfRule type="cellIs" dxfId="7437" priority="6869" operator="between">
      <formula>0.76</formula>
      <formula>0.95</formula>
    </cfRule>
    <cfRule type="cellIs" dxfId="7436" priority="6870" operator="between">
      <formula>0.51</formula>
      <formula>0.75</formula>
    </cfRule>
    <cfRule type="cellIs" dxfId="7435" priority="6871" operator="greaterThan">
      <formula>1</formula>
    </cfRule>
    <cfRule type="cellIs" dxfId="7434" priority="6872" operator="between">
      <formula>0.95</formula>
      <formula>1</formula>
    </cfRule>
    <cfRule type="cellIs" dxfId="7433" priority="6873" stopIfTrue="1" operator="between">
      <formula>0</formula>
      <formula>0.5</formula>
    </cfRule>
  </conditionalFormatting>
  <conditionalFormatting sqref="R37">
    <cfRule type="cellIs" dxfId="7432" priority="6824" operator="between">
      <formula>0.76</formula>
      <formula>0.95</formula>
    </cfRule>
    <cfRule type="cellIs" dxfId="7431" priority="6825" operator="between">
      <formula>0.51</formula>
      <formula>0.75</formula>
    </cfRule>
    <cfRule type="cellIs" dxfId="7430" priority="6826" operator="greaterThan">
      <formula>1</formula>
    </cfRule>
    <cfRule type="cellIs" dxfId="7429" priority="6827" operator="between">
      <formula>0.95</formula>
      <formula>1</formula>
    </cfRule>
    <cfRule type="cellIs" dxfId="7428" priority="6828" stopIfTrue="1" operator="between">
      <formula>0</formula>
      <formula>0.5</formula>
    </cfRule>
  </conditionalFormatting>
  <conditionalFormatting sqref="T37">
    <cfRule type="cellIs" dxfId="7427" priority="6819" operator="between">
      <formula>0.3751</formula>
      <formula>0.475</formula>
    </cfRule>
    <cfRule type="cellIs" dxfId="7426" priority="6820" operator="between">
      <formula>0.2551</formula>
      <formula>0.375</formula>
    </cfRule>
    <cfRule type="cellIs" dxfId="7425" priority="6821" operator="greaterThan">
      <formula>0.505</formula>
    </cfRule>
    <cfRule type="cellIs" dxfId="7424" priority="6822" operator="between">
      <formula>0.48</formula>
      <formula>0.5</formula>
    </cfRule>
    <cfRule type="cellIs" dxfId="7423" priority="6823" stopIfTrue="1" operator="between">
      <formula>0</formula>
      <formula>0.255</formula>
    </cfRule>
  </conditionalFormatting>
  <conditionalFormatting sqref="Y37 AF37 AH37:AI37">
    <cfRule type="cellIs" dxfId="7422" priority="6806" operator="between">
      <formula>0.76</formula>
      <formula>0.95</formula>
    </cfRule>
    <cfRule type="cellIs" dxfId="7421" priority="6807" operator="between">
      <formula>0.51</formula>
      <formula>0.75</formula>
    </cfRule>
    <cfRule type="cellIs" dxfId="7420" priority="6808" operator="greaterThan">
      <formula>1</formula>
    </cfRule>
    <cfRule type="cellIs" dxfId="7419" priority="6809" operator="between">
      <formula>0.95</formula>
      <formula>1</formula>
    </cfRule>
    <cfRule type="cellIs" dxfId="7418" priority="6810" stopIfTrue="1" operator="between">
      <formula>0</formula>
      <formula>0.5</formula>
    </cfRule>
  </conditionalFormatting>
  <conditionalFormatting sqref="AA37:AB37">
    <cfRule type="cellIs" dxfId="7417" priority="6801" operator="between">
      <formula>0.56251</formula>
      <formula>0.7125</formula>
    </cfRule>
    <cfRule type="cellIs" dxfId="7416" priority="6802" operator="between">
      <formula>0.3751</formula>
      <formula>0.5625</formula>
    </cfRule>
    <cfRule type="cellIs" dxfId="7415" priority="6803" operator="greaterThan">
      <formula>0.751</formula>
    </cfRule>
    <cfRule type="cellIs" dxfId="7414" priority="6804" operator="between">
      <formula>0.71251</formula>
      <formula>0.75</formula>
    </cfRule>
    <cfRule type="cellIs" dxfId="7413" priority="6805" stopIfTrue="1" operator="between">
      <formula>0</formula>
      <formula>0.375</formula>
    </cfRule>
  </conditionalFormatting>
  <conditionalFormatting sqref="U37">
    <cfRule type="cellIs" dxfId="7412" priority="6796" operator="between">
      <formula>0.376</formula>
      <formula>0.475</formula>
    </cfRule>
    <cfRule type="cellIs" dxfId="7411" priority="6797" operator="between">
      <formula>0.2551</formula>
      <formula>0.3751</formula>
    </cfRule>
    <cfRule type="cellIs" dxfId="7410" priority="6798" operator="greaterThan">
      <formula>0.505</formula>
    </cfRule>
    <cfRule type="cellIs" dxfId="7409" priority="6799" operator="between">
      <formula>0.48</formula>
      <formula>0.5</formula>
    </cfRule>
    <cfRule type="cellIs" dxfId="7408" priority="6800" stopIfTrue="1" operator="between">
      <formula>0</formula>
      <formula>0.255</formula>
    </cfRule>
  </conditionalFormatting>
  <conditionalFormatting sqref="AG37">
    <cfRule type="cellIs" dxfId="7407" priority="6786" operator="between">
      <formula>0.76</formula>
      <formula>0.95</formula>
    </cfRule>
    <cfRule type="cellIs" dxfId="7406" priority="6787" operator="between">
      <formula>0.51</formula>
      <formula>0.75</formula>
    </cfRule>
    <cfRule type="cellIs" dxfId="7405" priority="6788" operator="greaterThan">
      <formula>1</formula>
    </cfRule>
    <cfRule type="cellIs" dxfId="7404" priority="6789" operator="between">
      <formula>0.95</formula>
      <formula>1</formula>
    </cfRule>
    <cfRule type="cellIs" dxfId="7403" priority="6790" stopIfTrue="1" operator="between">
      <formula>0</formula>
      <formula>0.5</formula>
    </cfRule>
  </conditionalFormatting>
  <conditionalFormatting sqref="S37">
    <cfRule type="cellIs" dxfId="7402" priority="6766" operator="between">
      <formula>0.76</formula>
      <formula>0.95</formula>
    </cfRule>
    <cfRule type="cellIs" dxfId="7401" priority="6767" operator="between">
      <formula>0.51</formula>
      <formula>0.75</formula>
    </cfRule>
    <cfRule type="cellIs" dxfId="7400" priority="6768" operator="greaterThan">
      <formula>1</formula>
    </cfRule>
    <cfRule type="cellIs" dxfId="7399" priority="6769" operator="between">
      <formula>0.95</formula>
      <formula>1</formula>
    </cfRule>
    <cfRule type="cellIs" dxfId="7398" priority="6770" stopIfTrue="1" operator="between">
      <formula>0</formula>
      <formula>0.5</formula>
    </cfRule>
  </conditionalFormatting>
  <conditionalFormatting sqref="V37">
    <cfRule type="cellIs" dxfId="7397" priority="6761" operator="between">
      <formula>0.376</formula>
      <formula>0.475</formula>
    </cfRule>
    <cfRule type="cellIs" dxfId="7396" priority="6762" operator="between">
      <formula>0.2551</formula>
      <formula>0.3751</formula>
    </cfRule>
    <cfRule type="cellIs" dxfId="7395" priority="6763" operator="greaterThan">
      <formula>0.505</formula>
    </cfRule>
    <cfRule type="cellIs" dxfId="7394" priority="6764" operator="between">
      <formula>0.48</formula>
      <formula>0.5</formula>
    </cfRule>
    <cfRule type="cellIs" dxfId="7393" priority="6765" stopIfTrue="1" operator="between">
      <formula>0</formula>
      <formula>0.255</formula>
    </cfRule>
  </conditionalFormatting>
  <conditionalFormatting sqref="Z37">
    <cfRule type="cellIs" dxfId="7392" priority="6756" operator="between">
      <formula>0.76</formula>
      <formula>0.95</formula>
    </cfRule>
    <cfRule type="cellIs" dxfId="7391" priority="6757" operator="between">
      <formula>0.51</formula>
      <formula>0.75</formula>
    </cfRule>
    <cfRule type="cellIs" dxfId="7390" priority="6758" operator="greaterThan">
      <formula>1</formula>
    </cfRule>
    <cfRule type="cellIs" dxfId="7389" priority="6759" operator="between">
      <formula>0.95</formula>
      <formula>1</formula>
    </cfRule>
    <cfRule type="cellIs" dxfId="7388" priority="6760" stopIfTrue="1" operator="between">
      <formula>0</formula>
      <formula>0.5</formula>
    </cfRule>
  </conditionalFormatting>
  <conditionalFormatting sqref="AC37">
    <cfRule type="cellIs" dxfId="7387" priority="6751" operator="between">
      <formula>0.56251</formula>
      <formula>0.7125</formula>
    </cfRule>
    <cfRule type="cellIs" dxfId="7386" priority="6752" operator="between">
      <formula>0.3751</formula>
      <formula>0.5625</formula>
    </cfRule>
    <cfRule type="cellIs" dxfId="7385" priority="6753" operator="greaterThan">
      <formula>0.751</formula>
    </cfRule>
    <cfRule type="cellIs" dxfId="7384" priority="6754" operator="between">
      <formula>0.71251</formula>
      <formula>0.75</formula>
    </cfRule>
    <cfRule type="cellIs" dxfId="7383" priority="6755" stopIfTrue="1" operator="between">
      <formula>0</formula>
      <formula>0.375</formula>
    </cfRule>
  </conditionalFormatting>
  <conditionalFormatting sqref="R38:R40">
    <cfRule type="cellIs" dxfId="7382" priority="6746" operator="between">
      <formula>0.76</formula>
      <formula>0.95</formula>
    </cfRule>
    <cfRule type="cellIs" dxfId="7381" priority="6747" operator="between">
      <formula>0.51</formula>
      <formula>0.75</formula>
    </cfRule>
    <cfRule type="cellIs" dxfId="7380" priority="6748" operator="greaterThan">
      <formula>1</formula>
    </cfRule>
    <cfRule type="cellIs" dxfId="7379" priority="6749" operator="between">
      <formula>0.95</formula>
      <formula>1</formula>
    </cfRule>
    <cfRule type="cellIs" dxfId="7378" priority="6750" stopIfTrue="1" operator="between">
      <formula>0</formula>
      <formula>0.5</formula>
    </cfRule>
  </conditionalFormatting>
  <conditionalFormatting sqref="T38:T40">
    <cfRule type="cellIs" dxfId="7377" priority="6741" operator="between">
      <formula>0.3751</formula>
      <formula>0.475</formula>
    </cfRule>
    <cfRule type="cellIs" dxfId="7376" priority="6742" operator="between">
      <formula>0.2551</formula>
      <formula>0.375</formula>
    </cfRule>
    <cfRule type="cellIs" dxfId="7375" priority="6743" operator="greaterThan">
      <formula>0.505</formula>
    </cfRule>
    <cfRule type="cellIs" dxfId="7374" priority="6744" operator="between">
      <formula>0.48</formula>
      <formula>0.5</formula>
    </cfRule>
    <cfRule type="cellIs" dxfId="7373" priority="6745" stopIfTrue="1" operator="between">
      <formula>0</formula>
      <formula>0.255</formula>
    </cfRule>
  </conditionalFormatting>
  <conditionalFormatting sqref="Y38:Y40 AF38:AF40 AH38:AI40">
    <cfRule type="cellIs" dxfId="7372" priority="6728" operator="between">
      <formula>0.76</formula>
      <formula>0.95</formula>
    </cfRule>
    <cfRule type="cellIs" dxfId="7371" priority="6729" operator="between">
      <formula>0.51</formula>
      <formula>0.75</formula>
    </cfRule>
    <cfRule type="cellIs" dxfId="7370" priority="6730" operator="greaterThan">
      <formula>1</formula>
    </cfRule>
    <cfRule type="cellIs" dxfId="7369" priority="6731" operator="between">
      <formula>0.95</formula>
      <formula>1</formula>
    </cfRule>
    <cfRule type="cellIs" dxfId="7368" priority="6732" stopIfTrue="1" operator="between">
      <formula>0</formula>
      <formula>0.5</formula>
    </cfRule>
  </conditionalFormatting>
  <conditionalFormatting sqref="AA38:AB40">
    <cfRule type="cellIs" dxfId="7367" priority="6723" operator="between">
      <formula>0.56251</formula>
      <formula>0.7125</formula>
    </cfRule>
    <cfRule type="cellIs" dxfId="7366" priority="6724" operator="between">
      <formula>0.3751</formula>
      <formula>0.5625</formula>
    </cfRule>
    <cfRule type="cellIs" dxfId="7365" priority="6725" operator="greaterThan">
      <formula>0.751</formula>
    </cfRule>
    <cfRule type="cellIs" dxfId="7364" priority="6726" operator="between">
      <formula>0.71251</formula>
      <formula>0.75</formula>
    </cfRule>
    <cfRule type="cellIs" dxfId="7363" priority="6727" stopIfTrue="1" operator="between">
      <formula>0</formula>
      <formula>0.375</formula>
    </cfRule>
  </conditionalFormatting>
  <conditionalFormatting sqref="U38:U40">
    <cfRule type="cellIs" dxfId="7362" priority="6718" operator="between">
      <formula>0.376</formula>
      <formula>0.475</formula>
    </cfRule>
    <cfRule type="cellIs" dxfId="7361" priority="6719" operator="between">
      <formula>0.2551</formula>
      <formula>0.3751</formula>
    </cfRule>
    <cfRule type="cellIs" dxfId="7360" priority="6720" operator="greaterThan">
      <formula>0.505</formula>
    </cfRule>
    <cfRule type="cellIs" dxfId="7359" priority="6721" operator="between">
      <formula>0.48</formula>
      <formula>0.5</formula>
    </cfRule>
    <cfRule type="cellIs" dxfId="7358" priority="6722" stopIfTrue="1" operator="between">
      <formula>0</formula>
      <formula>0.255</formula>
    </cfRule>
  </conditionalFormatting>
  <conditionalFormatting sqref="AG38:AG40">
    <cfRule type="cellIs" dxfId="7357" priority="6713" operator="between">
      <formula>0.76</formula>
      <formula>0.95</formula>
    </cfRule>
    <cfRule type="cellIs" dxfId="7356" priority="6714" operator="between">
      <formula>0.51</formula>
      <formula>0.75</formula>
    </cfRule>
    <cfRule type="cellIs" dxfId="7355" priority="6715" operator="greaterThan">
      <formula>1</formula>
    </cfRule>
    <cfRule type="cellIs" dxfId="7354" priority="6716" operator="between">
      <formula>0.95</formula>
      <formula>1</formula>
    </cfRule>
    <cfRule type="cellIs" dxfId="7353" priority="6717" stopIfTrue="1" operator="between">
      <formula>0</formula>
      <formula>0.5</formula>
    </cfRule>
  </conditionalFormatting>
  <conditionalFormatting sqref="S38:S40">
    <cfRule type="cellIs" dxfId="7352" priority="6693" operator="between">
      <formula>0.76</formula>
      <formula>0.95</formula>
    </cfRule>
    <cfRule type="cellIs" dxfId="7351" priority="6694" operator="between">
      <formula>0.51</formula>
      <formula>0.75</formula>
    </cfRule>
    <cfRule type="cellIs" dxfId="7350" priority="6695" operator="greaterThan">
      <formula>1</formula>
    </cfRule>
    <cfRule type="cellIs" dxfId="7349" priority="6696" operator="between">
      <formula>0.95</formula>
      <formula>1</formula>
    </cfRule>
    <cfRule type="cellIs" dxfId="7348" priority="6697" stopIfTrue="1" operator="between">
      <formula>0</formula>
      <formula>0.5</formula>
    </cfRule>
  </conditionalFormatting>
  <conditionalFormatting sqref="V38:V40">
    <cfRule type="cellIs" dxfId="7347" priority="6688" operator="between">
      <formula>0.376</formula>
      <formula>0.475</formula>
    </cfRule>
    <cfRule type="cellIs" dxfId="7346" priority="6689" operator="between">
      <formula>0.2551</formula>
      <formula>0.3751</formula>
    </cfRule>
    <cfRule type="cellIs" dxfId="7345" priority="6690" operator="greaterThan">
      <formula>0.505</formula>
    </cfRule>
    <cfRule type="cellIs" dxfId="7344" priority="6691" operator="between">
      <formula>0.48</formula>
      <formula>0.5</formula>
    </cfRule>
    <cfRule type="cellIs" dxfId="7343" priority="6692" stopIfTrue="1" operator="between">
      <formula>0</formula>
      <formula>0.255</formula>
    </cfRule>
  </conditionalFormatting>
  <conditionalFormatting sqref="Z38:Z40">
    <cfRule type="cellIs" dxfId="7342" priority="6683" operator="between">
      <formula>0.76</formula>
      <formula>0.95</formula>
    </cfRule>
    <cfRule type="cellIs" dxfId="7341" priority="6684" operator="between">
      <formula>0.51</formula>
      <formula>0.75</formula>
    </cfRule>
    <cfRule type="cellIs" dxfId="7340" priority="6685" operator="greaterThan">
      <formula>1</formula>
    </cfRule>
    <cfRule type="cellIs" dxfId="7339" priority="6686" operator="between">
      <formula>0.95</formula>
      <formula>1</formula>
    </cfRule>
    <cfRule type="cellIs" dxfId="7338" priority="6687" stopIfTrue="1" operator="between">
      <formula>0</formula>
      <formula>0.5</formula>
    </cfRule>
  </conditionalFormatting>
  <conditionalFormatting sqref="AC38:AC40">
    <cfRule type="cellIs" dxfId="7337" priority="6678" operator="between">
      <formula>0.56251</formula>
      <formula>0.7125</formula>
    </cfRule>
    <cfRule type="cellIs" dxfId="7336" priority="6679" operator="between">
      <formula>0.3751</formula>
      <formula>0.5625</formula>
    </cfRule>
    <cfRule type="cellIs" dxfId="7335" priority="6680" operator="greaterThan">
      <formula>0.751</formula>
    </cfRule>
    <cfRule type="cellIs" dxfId="7334" priority="6681" operator="between">
      <formula>0.71251</formula>
      <formula>0.75</formula>
    </cfRule>
    <cfRule type="cellIs" dxfId="7333" priority="6682" stopIfTrue="1" operator="between">
      <formula>0</formula>
      <formula>0.375</formula>
    </cfRule>
  </conditionalFormatting>
  <conditionalFormatting sqref="R163 Y163 AF163:AI163">
    <cfRule type="cellIs" dxfId="7332" priority="6527" operator="between">
      <formula>0.76</formula>
      <formula>0.95</formula>
    </cfRule>
    <cfRule type="cellIs" dxfId="7331" priority="6528" operator="between">
      <formula>0.51</formula>
      <formula>0.75</formula>
    </cfRule>
    <cfRule type="cellIs" dxfId="7330" priority="6529" operator="greaterThan">
      <formula>1</formula>
    </cfRule>
    <cfRule type="cellIs" dxfId="7329" priority="6530" operator="between">
      <formula>0.95</formula>
      <formula>1</formula>
    </cfRule>
    <cfRule type="cellIs" dxfId="7328" priority="6531" stopIfTrue="1" operator="between">
      <formula>0</formula>
      <formula>0.5</formula>
    </cfRule>
  </conditionalFormatting>
  <conditionalFormatting sqref="T163">
    <cfRule type="cellIs" dxfId="7327" priority="6522" operator="between">
      <formula>0.3751</formula>
      <formula>0.475</formula>
    </cfRule>
    <cfRule type="cellIs" dxfId="7326" priority="6523" operator="between">
      <formula>0.2551</formula>
      <formula>0.375</formula>
    </cfRule>
    <cfRule type="cellIs" dxfId="7325" priority="6524" operator="greaterThan">
      <formula>0.505</formula>
    </cfRule>
    <cfRule type="cellIs" dxfId="7324" priority="6525" operator="between">
      <formula>0.48</formula>
      <formula>0.5</formula>
    </cfRule>
    <cfRule type="cellIs" dxfId="7323" priority="6526" stopIfTrue="1" operator="between">
      <formula>0</formula>
      <formula>0.255</formula>
    </cfRule>
  </conditionalFormatting>
  <conditionalFormatting sqref="AA163:AB163">
    <cfRule type="cellIs" dxfId="7322" priority="6517" operator="between">
      <formula>0.56251</formula>
      <formula>0.7125</formula>
    </cfRule>
    <cfRule type="cellIs" dxfId="7321" priority="6518" operator="between">
      <formula>0.3751</formula>
      <formula>0.5625</formula>
    </cfRule>
    <cfRule type="cellIs" dxfId="7320" priority="6519" operator="greaterThan">
      <formula>0.751</formula>
    </cfRule>
    <cfRule type="cellIs" dxfId="7319" priority="6520" operator="between">
      <formula>0.71251</formula>
      <formula>0.75</formula>
    </cfRule>
    <cfRule type="cellIs" dxfId="7318" priority="6521" stopIfTrue="1" operator="between">
      <formula>0</formula>
      <formula>0.375</formula>
    </cfRule>
  </conditionalFormatting>
  <conditionalFormatting sqref="U163">
    <cfRule type="cellIs" dxfId="7317" priority="6507" operator="between">
      <formula>0.376</formula>
      <formula>0.475</formula>
    </cfRule>
    <cfRule type="cellIs" dxfId="7316" priority="6508" operator="between">
      <formula>0.2551</formula>
      <formula>0.3751</formula>
    </cfRule>
    <cfRule type="cellIs" dxfId="7315" priority="6509" operator="greaterThan">
      <formula>0.505</formula>
    </cfRule>
    <cfRule type="cellIs" dxfId="7314" priority="6510" operator="between">
      <formula>0.48</formula>
      <formula>0.5</formula>
    </cfRule>
    <cfRule type="cellIs" dxfId="7313" priority="6511" stopIfTrue="1" operator="between">
      <formula>0</formula>
      <formula>0.255</formula>
    </cfRule>
  </conditionalFormatting>
  <conditionalFormatting sqref="S163">
    <cfRule type="cellIs" dxfId="7312" priority="6472" operator="between">
      <formula>0.76</formula>
      <formula>0.95</formula>
    </cfRule>
    <cfRule type="cellIs" dxfId="7311" priority="6473" operator="between">
      <formula>0.51</formula>
      <formula>0.75</formula>
    </cfRule>
    <cfRule type="cellIs" dxfId="7310" priority="6474" operator="greaterThan">
      <formula>1</formula>
    </cfRule>
    <cfRule type="cellIs" dxfId="7309" priority="6475" operator="between">
      <formula>0.95</formula>
      <formula>1</formula>
    </cfRule>
    <cfRule type="cellIs" dxfId="7308" priority="6476" stopIfTrue="1" operator="between">
      <formula>0</formula>
      <formula>0.5</formula>
    </cfRule>
  </conditionalFormatting>
  <conditionalFormatting sqref="V163">
    <cfRule type="cellIs" dxfId="7307" priority="6467" operator="between">
      <formula>0.376</formula>
      <formula>0.475</formula>
    </cfRule>
    <cfRule type="cellIs" dxfId="7306" priority="6468" operator="between">
      <formula>0.2551</formula>
      <formula>0.3751</formula>
    </cfRule>
    <cfRule type="cellIs" dxfId="7305" priority="6469" operator="greaterThan">
      <formula>0.505</formula>
    </cfRule>
    <cfRule type="cellIs" dxfId="7304" priority="6470" operator="between">
      <formula>0.48</formula>
      <formula>0.5</formula>
    </cfRule>
    <cfRule type="cellIs" dxfId="7303" priority="6471" stopIfTrue="1" operator="between">
      <formula>0</formula>
      <formula>0.255</formula>
    </cfRule>
  </conditionalFormatting>
  <conditionalFormatting sqref="Z163">
    <cfRule type="cellIs" dxfId="7302" priority="6462" operator="between">
      <formula>0.76</formula>
      <formula>0.95</formula>
    </cfRule>
    <cfRule type="cellIs" dxfId="7301" priority="6463" operator="between">
      <formula>0.51</formula>
      <formula>0.75</formula>
    </cfRule>
    <cfRule type="cellIs" dxfId="7300" priority="6464" operator="greaterThan">
      <formula>1</formula>
    </cfRule>
    <cfRule type="cellIs" dxfId="7299" priority="6465" operator="between">
      <formula>0.95</formula>
      <formula>1</formula>
    </cfRule>
    <cfRule type="cellIs" dxfId="7298" priority="6466" stopIfTrue="1" operator="between">
      <formula>0</formula>
      <formula>0.5</formula>
    </cfRule>
  </conditionalFormatting>
  <conditionalFormatting sqref="AC163">
    <cfRule type="cellIs" dxfId="7297" priority="6457" operator="between">
      <formula>0.56251</formula>
      <formula>0.7125</formula>
    </cfRule>
    <cfRule type="cellIs" dxfId="7296" priority="6458" operator="between">
      <formula>0.3751</formula>
      <formula>0.5625</formula>
    </cfRule>
    <cfRule type="cellIs" dxfId="7295" priority="6459" operator="greaterThan">
      <formula>0.751</formula>
    </cfRule>
    <cfRule type="cellIs" dxfId="7294" priority="6460" operator="between">
      <formula>0.71251</formula>
      <formula>0.75</formula>
    </cfRule>
    <cfRule type="cellIs" dxfId="7293" priority="6461" stopIfTrue="1" operator="between">
      <formula>0</formula>
      <formula>0.375</formula>
    </cfRule>
  </conditionalFormatting>
  <conditionalFormatting sqref="R164 Y164 AF164:AI164">
    <cfRule type="cellIs" dxfId="7292" priority="6452" operator="between">
      <formula>0.76</formula>
      <formula>0.95</formula>
    </cfRule>
    <cfRule type="cellIs" dxfId="7291" priority="6453" operator="between">
      <formula>0.51</formula>
      <formula>0.75</formula>
    </cfRule>
    <cfRule type="cellIs" dxfId="7290" priority="6454" operator="greaterThan">
      <formula>1</formula>
    </cfRule>
    <cfRule type="cellIs" dxfId="7289" priority="6455" operator="between">
      <formula>0.95</formula>
      <formula>1</formula>
    </cfRule>
    <cfRule type="cellIs" dxfId="7288" priority="6456" stopIfTrue="1" operator="between">
      <formula>0</formula>
      <formula>0.5</formula>
    </cfRule>
  </conditionalFormatting>
  <conditionalFormatting sqref="T164">
    <cfRule type="cellIs" dxfId="7287" priority="6447" operator="between">
      <formula>0.3751</formula>
      <formula>0.475</formula>
    </cfRule>
    <cfRule type="cellIs" dxfId="7286" priority="6448" operator="between">
      <formula>0.2551</formula>
      <formula>0.375</formula>
    </cfRule>
    <cfRule type="cellIs" dxfId="7285" priority="6449" operator="greaterThan">
      <formula>0.505</formula>
    </cfRule>
    <cfRule type="cellIs" dxfId="7284" priority="6450" operator="between">
      <formula>0.48</formula>
      <formula>0.5</formula>
    </cfRule>
    <cfRule type="cellIs" dxfId="7283" priority="6451" stopIfTrue="1" operator="between">
      <formula>0</formula>
      <formula>0.255</formula>
    </cfRule>
  </conditionalFormatting>
  <conditionalFormatting sqref="AA164:AB164">
    <cfRule type="cellIs" dxfId="7282" priority="6442" operator="between">
      <formula>0.56251</formula>
      <formula>0.7125</formula>
    </cfRule>
    <cfRule type="cellIs" dxfId="7281" priority="6443" operator="between">
      <formula>0.3751</formula>
      <formula>0.5625</formula>
    </cfRule>
    <cfRule type="cellIs" dxfId="7280" priority="6444" operator="greaterThan">
      <formula>0.751</formula>
    </cfRule>
    <cfRule type="cellIs" dxfId="7279" priority="6445" operator="between">
      <formula>0.71251</formula>
      <formula>0.75</formula>
    </cfRule>
    <cfRule type="cellIs" dxfId="7278" priority="6446" stopIfTrue="1" operator="between">
      <formula>0</formula>
      <formula>0.375</formula>
    </cfRule>
  </conditionalFormatting>
  <conditionalFormatting sqref="U164">
    <cfRule type="cellIs" dxfId="7277" priority="6432" operator="between">
      <formula>0.376</formula>
      <formula>0.475</formula>
    </cfRule>
    <cfRule type="cellIs" dxfId="7276" priority="6433" operator="between">
      <formula>0.2551</formula>
      <formula>0.3751</formula>
    </cfRule>
    <cfRule type="cellIs" dxfId="7275" priority="6434" operator="greaterThan">
      <formula>0.505</formula>
    </cfRule>
    <cfRule type="cellIs" dxfId="7274" priority="6435" operator="between">
      <formula>0.48</formula>
      <formula>0.5</formula>
    </cfRule>
    <cfRule type="cellIs" dxfId="7273" priority="6436" stopIfTrue="1" operator="between">
      <formula>0</formula>
      <formula>0.255</formula>
    </cfRule>
  </conditionalFormatting>
  <conditionalFormatting sqref="S164">
    <cfRule type="cellIs" dxfId="7272" priority="6397" operator="between">
      <formula>0.76</formula>
      <formula>0.95</formula>
    </cfRule>
    <cfRule type="cellIs" dxfId="7271" priority="6398" operator="between">
      <formula>0.51</formula>
      <formula>0.75</formula>
    </cfRule>
    <cfRule type="cellIs" dxfId="7270" priority="6399" operator="greaterThan">
      <formula>1</formula>
    </cfRule>
    <cfRule type="cellIs" dxfId="7269" priority="6400" operator="between">
      <formula>0.95</formula>
      <formula>1</formula>
    </cfRule>
    <cfRule type="cellIs" dxfId="7268" priority="6401" stopIfTrue="1" operator="between">
      <formula>0</formula>
      <formula>0.5</formula>
    </cfRule>
  </conditionalFormatting>
  <conditionalFormatting sqref="V164">
    <cfRule type="cellIs" dxfId="7267" priority="6392" operator="between">
      <formula>0.376</formula>
      <formula>0.475</formula>
    </cfRule>
    <cfRule type="cellIs" dxfId="7266" priority="6393" operator="between">
      <formula>0.2551</formula>
      <formula>0.3751</formula>
    </cfRule>
    <cfRule type="cellIs" dxfId="7265" priority="6394" operator="greaterThan">
      <formula>0.505</formula>
    </cfRule>
    <cfRule type="cellIs" dxfId="7264" priority="6395" operator="between">
      <formula>0.48</formula>
      <formula>0.5</formula>
    </cfRule>
    <cfRule type="cellIs" dxfId="7263" priority="6396" stopIfTrue="1" operator="between">
      <formula>0</formula>
      <formula>0.255</formula>
    </cfRule>
  </conditionalFormatting>
  <conditionalFormatting sqref="Z164">
    <cfRule type="cellIs" dxfId="7262" priority="6387" operator="between">
      <formula>0.76</formula>
      <formula>0.95</formula>
    </cfRule>
    <cfRule type="cellIs" dxfId="7261" priority="6388" operator="between">
      <formula>0.51</formula>
      <formula>0.75</formula>
    </cfRule>
    <cfRule type="cellIs" dxfId="7260" priority="6389" operator="greaterThan">
      <formula>1</formula>
    </cfRule>
    <cfRule type="cellIs" dxfId="7259" priority="6390" operator="between">
      <formula>0.95</formula>
      <formula>1</formula>
    </cfRule>
    <cfRule type="cellIs" dxfId="7258" priority="6391" stopIfTrue="1" operator="between">
      <formula>0</formula>
      <formula>0.5</formula>
    </cfRule>
  </conditionalFormatting>
  <conditionalFormatting sqref="AC164">
    <cfRule type="cellIs" dxfId="7257" priority="6382" operator="between">
      <formula>0.56251</formula>
      <formula>0.7125</formula>
    </cfRule>
    <cfRule type="cellIs" dxfId="7256" priority="6383" operator="between">
      <formula>0.3751</formula>
      <formula>0.5625</formula>
    </cfRule>
    <cfRule type="cellIs" dxfId="7255" priority="6384" operator="greaterThan">
      <formula>0.751</formula>
    </cfRule>
    <cfRule type="cellIs" dxfId="7254" priority="6385" operator="between">
      <formula>0.71251</formula>
      <formula>0.75</formula>
    </cfRule>
    <cfRule type="cellIs" dxfId="7253" priority="6386" stopIfTrue="1" operator="between">
      <formula>0</formula>
      <formula>0.375</formula>
    </cfRule>
  </conditionalFormatting>
  <conditionalFormatting sqref="R165 Y165 AF165:AI165">
    <cfRule type="cellIs" dxfId="7252" priority="6377" operator="between">
      <formula>0.76</formula>
      <formula>0.95</formula>
    </cfRule>
    <cfRule type="cellIs" dxfId="7251" priority="6378" operator="between">
      <formula>0.51</formula>
      <formula>0.75</formula>
    </cfRule>
    <cfRule type="cellIs" dxfId="7250" priority="6379" operator="greaterThan">
      <formula>1</formula>
    </cfRule>
    <cfRule type="cellIs" dxfId="7249" priority="6380" operator="between">
      <formula>0.95</formula>
      <formula>1</formula>
    </cfRule>
    <cfRule type="cellIs" dxfId="7248" priority="6381" stopIfTrue="1" operator="between">
      <formula>0</formula>
      <formula>0.5</formula>
    </cfRule>
  </conditionalFormatting>
  <conditionalFormatting sqref="T165">
    <cfRule type="cellIs" dxfId="7247" priority="6372" operator="between">
      <formula>0.3751</formula>
      <formula>0.475</formula>
    </cfRule>
    <cfRule type="cellIs" dxfId="7246" priority="6373" operator="between">
      <formula>0.2551</formula>
      <formula>0.375</formula>
    </cfRule>
    <cfRule type="cellIs" dxfId="7245" priority="6374" operator="greaterThan">
      <formula>0.505</formula>
    </cfRule>
    <cfRule type="cellIs" dxfId="7244" priority="6375" operator="between">
      <formula>0.48</formula>
      <formula>0.5</formula>
    </cfRule>
    <cfRule type="cellIs" dxfId="7243" priority="6376" stopIfTrue="1" operator="between">
      <formula>0</formula>
      <formula>0.255</formula>
    </cfRule>
  </conditionalFormatting>
  <conditionalFormatting sqref="AA165:AB165">
    <cfRule type="cellIs" dxfId="7242" priority="6367" operator="between">
      <formula>0.56251</formula>
      <formula>0.7125</formula>
    </cfRule>
    <cfRule type="cellIs" dxfId="7241" priority="6368" operator="between">
      <formula>0.3751</formula>
      <formula>0.5625</formula>
    </cfRule>
    <cfRule type="cellIs" dxfId="7240" priority="6369" operator="greaterThan">
      <formula>0.751</formula>
    </cfRule>
    <cfRule type="cellIs" dxfId="7239" priority="6370" operator="between">
      <formula>0.71251</formula>
      <formula>0.75</formula>
    </cfRule>
    <cfRule type="cellIs" dxfId="7238" priority="6371" stopIfTrue="1" operator="between">
      <formula>0</formula>
      <formula>0.375</formula>
    </cfRule>
  </conditionalFormatting>
  <conditionalFormatting sqref="U165">
    <cfRule type="cellIs" dxfId="7237" priority="6357" operator="between">
      <formula>0.376</formula>
      <formula>0.475</formula>
    </cfRule>
    <cfRule type="cellIs" dxfId="7236" priority="6358" operator="between">
      <formula>0.2551</formula>
      <formula>0.3751</formula>
    </cfRule>
    <cfRule type="cellIs" dxfId="7235" priority="6359" operator="greaterThan">
      <formula>0.505</formula>
    </cfRule>
    <cfRule type="cellIs" dxfId="7234" priority="6360" operator="between">
      <formula>0.48</formula>
      <formula>0.5</formula>
    </cfRule>
    <cfRule type="cellIs" dxfId="7233" priority="6361" stopIfTrue="1" operator="between">
      <formula>0</formula>
      <formula>0.255</formula>
    </cfRule>
  </conditionalFormatting>
  <conditionalFormatting sqref="S165">
    <cfRule type="cellIs" dxfId="7232" priority="6322" operator="between">
      <formula>0.76</formula>
      <formula>0.95</formula>
    </cfRule>
    <cfRule type="cellIs" dxfId="7231" priority="6323" operator="between">
      <formula>0.51</formula>
      <formula>0.75</formula>
    </cfRule>
    <cfRule type="cellIs" dxfId="7230" priority="6324" operator="greaterThan">
      <formula>1</formula>
    </cfRule>
    <cfRule type="cellIs" dxfId="7229" priority="6325" operator="between">
      <formula>0.95</formula>
      <formula>1</formula>
    </cfRule>
    <cfRule type="cellIs" dxfId="7228" priority="6326" stopIfTrue="1" operator="between">
      <formula>0</formula>
      <formula>0.5</formula>
    </cfRule>
  </conditionalFormatting>
  <conditionalFormatting sqref="V165">
    <cfRule type="cellIs" dxfId="7227" priority="6317" operator="between">
      <formula>0.376</formula>
      <formula>0.475</formula>
    </cfRule>
    <cfRule type="cellIs" dxfId="7226" priority="6318" operator="between">
      <formula>0.2551</formula>
      <formula>0.3751</formula>
    </cfRule>
    <cfRule type="cellIs" dxfId="7225" priority="6319" operator="greaterThan">
      <formula>0.505</formula>
    </cfRule>
    <cfRule type="cellIs" dxfId="7224" priority="6320" operator="between">
      <formula>0.48</formula>
      <formula>0.5</formula>
    </cfRule>
    <cfRule type="cellIs" dxfId="7223" priority="6321" stopIfTrue="1" operator="between">
      <formula>0</formula>
      <formula>0.255</formula>
    </cfRule>
  </conditionalFormatting>
  <conditionalFormatting sqref="Z165">
    <cfRule type="cellIs" dxfId="7222" priority="6312" operator="between">
      <formula>0.76</formula>
      <formula>0.95</formula>
    </cfRule>
    <cfRule type="cellIs" dxfId="7221" priority="6313" operator="between">
      <formula>0.51</formula>
      <formula>0.75</formula>
    </cfRule>
    <cfRule type="cellIs" dxfId="7220" priority="6314" operator="greaterThan">
      <formula>1</formula>
    </cfRule>
    <cfRule type="cellIs" dxfId="7219" priority="6315" operator="between">
      <formula>0.95</formula>
      <formula>1</formula>
    </cfRule>
    <cfRule type="cellIs" dxfId="7218" priority="6316" stopIfTrue="1" operator="between">
      <formula>0</formula>
      <formula>0.5</formula>
    </cfRule>
  </conditionalFormatting>
  <conditionalFormatting sqref="AC165">
    <cfRule type="cellIs" dxfId="7217" priority="6307" operator="between">
      <formula>0.56251</formula>
      <formula>0.7125</formula>
    </cfRule>
    <cfRule type="cellIs" dxfId="7216" priority="6308" operator="between">
      <formula>0.3751</formula>
      <formula>0.5625</formula>
    </cfRule>
    <cfRule type="cellIs" dxfId="7215" priority="6309" operator="greaterThan">
      <formula>0.751</formula>
    </cfRule>
    <cfRule type="cellIs" dxfId="7214" priority="6310" operator="between">
      <formula>0.71251</formula>
      <formula>0.75</formula>
    </cfRule>
    <cfRule type="cellIs" dxfId="7213" priority="6311" stopIfTrue="1" operator="between">
      <formula>0</formula>
      <formula>0.375</formula>
    </cfRule>
  </conditionalFormatting>
  <conditionalFormatting sqref="AF221:AI221 R221:S221 Y221:Z221">
    <cfRule type="cellIs" dxfId="7212" priority="6302" operator="between">
      <formula>0.76</formula>
      <formula>0.95</formula>
    </cfRule>
    <cfRule type="cellIs" dxfId="7211" priority="6303" operator="between">
      <formula>0.51</formula>
      <formula>0.75</formula>
    </cfRule>
    <cfRule type="cellIs" dxfId="7210" priority="6304" operator="greaterThan">
      <formula>1</formula>
    </cfRule>
    <cfRule type="cellIs" dxfId="7209" priority="6305" operator="between">
      <formula>0.95</formula>
      <formula>1</formula>
    </cfRule>
    <cfRule type="cellIs" dxfId="7208" priority="6306" stopIfTrue="1" operator="between">
      <formula>0</formula>
      <formula>0.5</formula>
    </cfRule>
  </conditionalFormatting>
  <conditionalFormatting sqref="T221">
    <cfRule type="cellIs" dxfId="7207" priority="6297" operator="between">
      <formula>0.3751</formula>
      <formula>0.475</formula>
    </cfRule>
    <cfRule type="cellIs" dxfId="7206" priority="6298" operator="between">
      <formula>0.2551</formula>
      <formula>0.375</formula>
    </cfRule>
    <cfRule type="cellIs" dxfId="7205" priority="6299" operator="greaterThan">
      <formula>0.505</formula>
    </cfRule>
    <cfRule type="cellIs" dxfId="7204" priority="6300" operator="between">
      <formula>0.48</formula>
      <formula>0.5</formula>
    </cfRule>
    <cfRule type="cellIs" dxfId="7203" priority="6301" stopIfTrue="1" operator="between">
      <formula>0</formula>
      <formula>0.255</formula>
    </cfRule>
  </conditionalFormatting>
  <conditionalFormatting sqref="AA221:AC221">
    <cfRule type="cellIs" dxfId="7202" priority="6292" operator="between">
      <formula>0.56251</formula>
      <formula>0.7125</formula>
    </cfRule>
    <cfRule type="cellIs" dxfId="7201" priority="6293" operator="between">
      <formula>0.3751</formula>
      <formula>0.5625</formula>
    </cfRule>
    <cfRule type="cellIs" dxfId="7200" priority="6294" operator="greaterThan">
      <formula>0.751</formula>
    </cfRule>
    <cfRule type="cellIs" dxfId="7199" priority="6295" operator="between">
      <formula>0.71251</formula>
      <formula>0.75</formula>
    </cfRule>
    <cfRule type="cellIs" dxfId="7198" priority="6296" stopIfTrue="1" operator="between">
      <formula>0</formula>
      <formula>0.375</formula>
    </cfRule>
  </conditionalFormatting>
  <conditionalFormatting sqref="U221:V221">
    <cfRule type="cellIs" dxfId="7197" priority="6282" operator="between">
      <formula>0.376</formula>
      <formula>0.475</formula>
    </cfRule>
    <cfRule type="cellIs" dxfId="7196" priority="6283" operator="between">
      <formula>0.2551</formula>
      <formula>0.3751</formula>
    </cfRule>
    <cfRule type="cellIs" dxfId="7195" priority="6284" operator="greaterThan">
      <formula>0.505</formula>
    </cfRule>
    <cfRule type="cellIs" dxfId="7194" priority="6285" operator="between">
      <formula>0.48</formula>
      <formula>0.5</formula>
    </cfRule>
    <cfRule type="cellIs" dxfId="7193" priority="6286" stopIfTrue="1" operator="between">
      <formula>0</formula>
      <formula>0.255</formula>
    </cfRule>
  </conditionalFormatting>
  <conditionalFormatting sqref="R234:S235 Y234:Z235 AF234:AI235">
    <cfRule type="cellIs" dxfId="7192" priority="5806" operator="between">
      <formula>0.76</formula>
      <formula>0.95</formula>
    </cfRule>
    <cfRule type="cellIs" dxfId="7191" priority="5807" operator="between">
      <formula>0.51</formula>
      <formula>0.75</formula>
    </cfRule>
    <cfRule type="cellIs" dxfId="7190" priority="5808" operator="greaterThan">
      <formula>1</formula>
    </cfRule>
    <cfRule type="cellIs" dxfId="7189" priority="5809" operator="between">
      <formula>0.95</formula>
      <formula>1</formula>
    </cfRule>
    <cfRule type="cellIs" dxfId="7188" priority="5810" stopIfTrue="1" operator="between">
      <formula>0</formula>
      <formula>0.5</formula>
    </cfRule>
  </conditionalFormatting>
  <conditionalFormatting sqref="T234:T235">
    <cfRule type="cellIs" dxfId="7187" priority="5801" operator="between">
      <formula>0.3751</formula>
      <formula>0.475</formula>
    </cfRule>
    <cfRule type="cellIs" dxfId="7186" priority="5802" operator="between">
      <formula>0.2551</formula>
      <formula>0.375</formula>
    </cfRule>
    <cfRule type="cellIs" dxfId="7185" priority="5803" operator="greaterThan">
      <formula>0.505</formula>
    </cfRule>
    <cfRule type="cellIs" dxfId="7184" priority="5804" operator="between">
      <formula>0.48</formula>
      <formula>0.5</formula>
    </cfRule>
    <cfRule type="cellIs" dxfId="7183" priority="5805" stopIfTrue="1" operator="between">
      <formula>0</formula>
      <formula>0.255</formula>
    </cfRule>
  </conditionalFormatting>
  <conditionalFormatting sqref="AA234:AC235">
    <cfRule type="cellIs" dxfId="7182" priority="5796" operator="between">
      <formula>0.56251</formula>
      <formula>0.7125</formula>
    </cfRule>
    <cfRule type="cellIs" dxfId="7181" priority="5797" operator="between">
      <formula>0.3751</formula>
      <formula>0.5625</formula>
    </cfRule>
    <cfRule type="cellIs" dxfId="7180" priority="5798" operator="greaterThan">
      <formula>0.751</formula>
    </cfRule>
    <cfRule type="cellIs" dxfId="7179" priority="5799" operator="between">
      <formula>0.71251</formula>
      <formula>0.75</formula>
    </cfRule>
    <cfRule type="cellIs" dxfId="7178" priority="5800" stopIfTrue="1" operator="between">
      <formula>0</formula>
      <formula>0.375</formula>
    </cfRule>
  </conditionalFormatting>
  <conditionalFormatting sqref="R223:S223 Y223:Z223 AF223:AI223">
    <cfRule type="cellIs" dxfId="7177" priority="6163" operator="between">
      <formula>0.76</formula>
      <formula>0.95</formula>
    </cfRule>
    <cfRule type="cellIs" dxfId="7176" priority="6164" operator="between">
      <formula>0.51</formula>
      <formula>0.75</formula>
    </cfRule>
    <cfRule type="cellIs" dxfId="7175" priority="6165" operator="greaterThan">
      <formula>1</formula>
    </cfRule>
    <cfRule type="cellIs" dxfId="7174" priority="6166" operator="between">
      <formula>0.95</formula>
      <formula>1</formula>
    </cfRule>
    <cfRule type="cellIs" dxfId="7173" priority="6167" stopIfTrue="1" operator="between">
      <formula>0</formula>
      <formula>0.5</formula>
    </cfRule>
  </conditionalFormatting>
  <conditionalFormatting sqref="T223">
    <cfRule type="cellIs" dxfId="7172" priority="6158" operator="between">
      <formula>0.3751</formula>
      <formula>0.475</formula>
    </cfRule>
    <cfRule type="cellIs" dxfId="7171" priority="6159" operator="between">
      <formula>0.2551</formula>
      <formula>0.375</formula>
    </cfRule>
    <cfRule type="cellIs" dxfId="7170" priority="6160" operator="greaterThan">
      <formula>0.505</formula>
    </cfRule>
    <cfRule type="cellIs" dxfId="7169" priority="6161" operator="between">
      <formula>0.48</formula>
      <formula>0.5</formula>
    </cfRule>
    <cfRule type="cellIs" dxfId="7168" priority="6162" stopIfTrue="1" operator="between">
      <formula>0</formula>
      <formula>0.255</formula>
    </cfRule>
  </conditionalFormatting>
  <conditionalFormatting sqref="AA223:AC223">
    <cfRule type="cellIs" dxfId="7167" priority="6153" operator="between">
      <formula>0.56251</formula>
      <formula>0.7125</formula>
    </cfRule>
    <cfRule type="cellIs" dxfId="7166" priority="6154" operator="between">
      <formula>0.3751</formula>
      <formula>0.5625</formula>
    </cfRule>
    <cfRule type="cellIs" dxfId="7165" priority="6155" operator="greaterThan">
      <formula>0.751</formula>
    </cfRule>
    <cfRule type="cellIs" dxfId="7164" priority="6156" operator="between">
      <formula>0.71251</formula>
      <formula>0.75</formula>
    </cfRule>
    <cfRule type="cellIs" dxfId="7163" priority="6157" stopIfTrue="1" operator="between">
      <formula>0</formula>
      <formula>0.375</formula>
    </cfRule>
  </conditionalFormatting>
  <conditionalFormatting sqref="U223:V223">
    <cfRule type="cellIs" dxfId="7162" priority="6143" operator="between">
      <formula>0.376</formula>
      <formula>0.475</formula>
    </cfRule>
    <cfRule type="cellIs" dxfId="7161" priority="6144" operator="between">
      <formula>0.2551</formula>
      <formula>0.3751</formula>
    </cfRule>
    <cfRule type="cellIs" dxfId="7160" priority="6145" operator="greaterThan">
      <formula>0.505</formula>
    </cfRule>
    <cfRule type="cellIs" dxfId="7159" priority="6146" operator="between">
      <formula>0.48</formula>
      <formula>0.5</formula>
    </cfRule>
    <cfRule type="cellIs" dxfId="7158" priority="6147" stopIfTrue="1" operator="between">
      <formula>0</formula>
      <formula>0.255</formula>
    </cfRule>
  </conditionalFormatting>
  <conditionalFormatting sqref="AG223">
    <cfRule type="cellIs" dxfId="7157" priority="6138" operator="between">
      <formula>0.76</formula>
      <formula>0.95</formula>
    </cfRule>
    <cfRule type="cellIs" dxfId="7156" priority="6139" operator="between">
      <formula>0.51</formula>
      <formula>0.75</formula>
    </cfRule>
    <cfRule type="cellIs" dxfId="7155" priority="6140" operator="greaterThan">
      <formula>1</formula>
    </cfRule>
    <cfRule type="cellIs" dxfId="7154" priority="6141" operator="between">
      <formula>0.95</formula>
      <formula>1</formula>
    </cfRule>
    <cfRule type="cellIs" dxfId="7153" priority="6142" stopIfTrue="1" operator="between">
      <formula>0</formula>
      <formula>0.5</formula>
    </cfRule>
  </conditionalFormatting>
  <conditionalFormatting sqref="Y224:Z224 AF224:AG224">
    <cfRule type="cellIs" dxfId="7152" priority="6106" operator="between">
      <formula>0.76</formula>
      <formula>0.95</formula>
    </cfRule>
    <cfRule type="cellIs" dxfId="7151" priority="6107" operator="between">
      <formula>0.51</formula>
      <formula>0.75</formula>
    </cfRule>
    <cfRule type="cellIs" dxfId="7150" priority="6108" operator="greaterThan">
      <formula>1</formula>
    </cfRule>
    <cfRule type="cellIs" dxfId="7149" priority="6109" operator="between">
      <formula>0.95</formula>
      <formula>1</formula>
    </cfRule>
    <cfRule type="cellIs" dxfId="7148" priority="6110" stopIfTrue="1" operator="between">
      <formula>0</formula>
      <formula>0.5</formula>
    </cfRule>
  </conditionalFormatting>
  <conditionalFormatting sqref="AA224:AC224">
    <cfRule type="cellIs" dxfId="7147" priority="6096" operator="between">
      <formula>0.56251</formula>
      <formula>0.7125</formula>
    </cfRule>
    <cfRule type="cellIs" dxfId="7146" priority="6097" operator="between">
      <formula>0.3751</formula>
      <formula>0.5625</formula>
    </cfRule>
    <cfRule type="cellIs" dxfId="7145" priority="6098" operator="greaterThan">
      <formula>0.751</formula>
    </cfRule>
    <cfRule type="cellIs" dxfId="7144" priority="6099" operator="between">
      <formula>0.71251</formula>
      <formula>0.75</formula>
    </cfRule>
    <cfRule type="cellIs" dxfId="7143" priority="6100" stopIfTrue="1" operator="between">
      <formula>0</formula>
      <formula>0.375</formula>
    </cfRule>
  </conditionalFormatting>
  <conditionalFormatting sqref="AG224">
    <cfRule type="cellIs" dxfId="7142" priority="6081" operator="between">
      <formula>0.76</formula>
      <formula>0.95</formula>
    </cfRule>
    <cfRule type="cellIs" dxfId="7141" priority="6082" operator="between">
      <formula>0.51</formula>
      <formula>0.75</formula>
    </cfRule>
    <cfRule type="cellIs" dxfId="7140" priority="6083" operator="greaterThan">
      <formula>1</formula>
    </cfRule>
    <cfRule type="cellIs" dxfId="7139" priority="6084" operator="between">
      <formula>0.95</formula>
      <formula>1</formula>
    </cfRule>
    <cfRule type="cellIs" dxfId="7138" priority="6085" stopIfTrue="1" operator="between">
      <formula>0</formula>
      <formula>0.5</formula>
    </cfRule>
  </conditionalFormatting>
  <conditionalFormatting sqref="R228:S228 Y228:Z228 AF228:AI228 R230:S230 Y230:Z230 AF230:AI230">
    <cfRule type="cellIs" dxfId="7137" priority="5920" operator="between">
      <formula>0.76</formula>
      <formula>0.95</formula>
    </cfRule>
    <cfRule type="cellIs" dxfId="7136" priority="5921" operator="between">
      <formula>0.51</formula>
      <formula>0.75</formula>
    </cfRule>
    <cfRule type="cellIs" dxfId="7135" priority="5922" operator="greaterThan">
      <formula>1</formula>
    </cfRule>
    <cfRule type="cellIs" dxfId="7134" priority="5923" operator="between">
      <formula>0.95</formula>
      <formula>1</formula>
    </cfRule>
    <cfRule type="cellIs" dxfId="7133" priority="5924" stopIfTrue="1" operator="between">
      <formula>0</formula>
      <formula>0.5</formula>
    </cfRule>
  </conditionalFormatting>
  <conditionalFormatting sqref="T228 T230">
    <cfRule type="cellIs" dxfId="7132" priority="5915" operator="between">
      <formula>0.3751</formula>
      <formula>0.475</formula>
    </cfRule>
    <cfRule type="cellIs" dxfId="7131" priority="5916" operator="between">
      <formula>0.2551</formula>
      <formula>0.375</formula>
    </cfRule>
    <cfRule type="cellIs" dxfId="7130" priority="5917" operator="greaterThan">
      <formula>0.505</formula>
    </cfRule>
    <cfRule type="cellIs" dxfId="7129" priority="5918" operator="between">
      <formula>0.48</formula>
      <formula>0.5</formula>
    </cfRule>
    <cfRule type="cellIs" dxfId="7128" priority="5919" stopIfTrue="1" operator="between">
      <formula>0</formula>
      <formula>0.255</formula>
    </cfRule>
  </conditionalFormatting>
  <conditionalFormatting sqref="AA228:AC228 AA230:AC230">
    <cfRule type="cellIs" dxfId="7127" priority="5910" operator="between">
      <formula>0.56251</formula>
      <formula>0.7125</formula>
    </cfRule>
    <cfRule type="cellIs" dxfId="7126" priority="5911" operator="between">
      <formula>0.3751</formula>
      <formula>0.5625</formula>
    </cfRule>
    <cfRule type="cellIs" dxfId="7125" priority="5912" operator="greaterThan">
      <formula>0.751</formula>
    </cfRule>
    <cfRule type="cellIs" dxfId="7124" priority="5913" operator="between">
      <formula>0.71251</formula>
      <formula>0.75</formula>
    </cfRule>
    <cfRule type="cellIs" dxfId="7123" priority="5914" stopIfTrue="1" operator="between">
      <formula>0</formula>
      <formula>0.375</formula>
    </cfRule>
  </conditionalFormatting>
  <conditionalFormatting sqref="U228:V228 U230:V230">
    <cfRule type="cellIs" dxfId="7122" priority="5900" operator="between">
      <formula>0.376</formula>
      <formula>0.475</formula>
    </cfRule>
    <cfRule type="cellIs" dxfId="7121" priority="5901" operator="between">
      <formula>0.2551</formula>
      <formula>0.3751</formula>
    </cfRule>
    <cfRule type="cellIs" dxfId="7120" priority="5902" operator="greaterThan">
      <formula>0.505</formula>
    </cfRule>
    <cfRule type="cellIs" dxfId="7119" priority="5903" operator="between">
      <formula>0.48</formula>
      <formula>0.5</formula>
    </cfRule>
    <cfRule type="cellIs" dxfId="7118" priority="5904" stopIfTrue="1" operator="between">
      <formula>0</formula>
      <formula>0.255</formula>
    </cfRule>
  </conditionalFormatting>
  <conditionalFormatting sqref="AG228 AG230">
    <cfRule type="cellIs" dxfId="7117" priority="5895" operator="between">
      <formula>0.76</formula>
      <formula>0.95</formula>
    </cfRule>
    <cfRule type="cellIs" dxfId="7116" priority="5896" operator="between">
      <formula>0.51</formula>
      <formula>0.75</formula>
    </cfRule>
    <cfRule type="cellIs" dxfId="7115" priority="5897" operator="greaterThan">
      <formula>1</formula>
    </cfRule>
    <cfRule type="cellIs" dxfId="7114" priority="5898" operator="between">
      <formula>0.95</formula>
      <formula>1</formula>
    </cfRule>
    <cfRule type="cellIs" dxfId="7113" priority="5899" stopIfTrue="1" operator="between">
      <formula>0</formula>
      <formula>0.5</formula>
    </cfRule>
  </conditionalFormatting>
  <conditionalFormatting sqref="R231:S231 Y231:Z231 AF231:AI231 AF233:AI233 Y233:Z233 R233:S233">
    <cfRule type="cellIs" dxfId="7112" priority="5863" operator="between">
      <formula>0.76</formula>
      <formula>0.95</formula>
    </cfRule>
    <cfRule type="cellIs" dxfId="7111" priority="5864" operator="between">
      <formula>0.51</formula>
      <formula>0.75</formula>
    </cfRule>
    <cfRule type="cellIs" dxfId="7110" priority="5865" operator="greaterThan">
      <formula>1</formula>
    </cfRule>
    <cfRule type="cellIs" dxfId="7109" priority="5866" operator="between">
      <formula>0.95</formula>
      <formula>1</formula>
    </cfRule>
    <cfRule type="cellIs" dxfId="7108" priority="5867" stopIfTrue="1" operator="between">
      <formula>0</formula>
      <formula>0.5</formula>
    </cfRule>
  </conditionalFormatting>
  <conditionalFormatting sqref="T231 T233">
    <cfRule type="cellIs" dxfId="7107" priority="5858" operator="between">
      <formula>0.3751</formula>
      <formula>0.475</formula>
    </cfRule>
    <cfRule type="cellIs" dxfId="7106" priority="5859" operator="between">
      <formula>0.2551</formula>
      <formula>0.375</formula>
    </cfRule>
    <cfRule type="cellIs" dxfId="7105" priority="5860" operator="greaterThan">
      <formula>0.505</formula>
    </cfRule>
    <cfRule type="cellIs" dxfId="7104" priority="5861" operator="between">
      <formula>0.48</formula>
      <formula>0.5</formula>
    </cfRule>
    <cfRule type="cellIs" dxfId="7103" priority="5862" stopIfTrue="1" operator="between">
      <formula>0</formula>
      <formula>0.255</formula>
    </cfRule>
  </conditionalFormatting>
  <conditionalFormatting sqref="AA231:AC231 AA233:AC233">
    <cfRule type="cellIs" dxfId="7102" priority="5853" operator="between">
      <formula>0.56251</formula>
      <formula>0.7125</formula>
    </cfRule>
    <cfRule type="cellIs" dxfId="7101" priority="5854" operator="between">
      <formula>0.3751</formula>
      <formula>0.5625</formula>
    </cfRule>
    <cfRule type="cellIs" dxfId="7100" priority="5855" operator="greaterThan">
      <formula>0.751</formula>
    </cfRule>
    <cfRule type="cellIs" dxfId="7099" priority="5856" operator="between">
      <formula>0.71251</formula>
      <formula>0.75</formula>
    </cfRule>
    <cfRule type="cellIs" dxfId="7098" priority="5857" stopIfTrue="1" operator="between">
      <formula>0</formula>
      <formula>0.375</formula>
    </cfRule>
  </conditionalFormatting>
  <conditionalFormatting sqref="U231:V231 U233:V233">
    <cfRule type="cellIs" dxfId="7097" priority="5843" operator="between">
      <formula>0.376</formula>
      <formula>0.475</formula>
    </cfRule>
    <cfRule type="cellIs" dxfId="7096" priority="5844" operator="between">
      <formula>0.2551</formula>
      <formula>0.3751</formula>
    </cfRule>
    <cfRule type="cellIs" dxfId="7095" priority="5845" operator="greaterThan">
      <formula>0.505</formula>
    </cfRule>
    <cfRule type="cellIs" dxfId="7094" priority="5846" operator="between">
      <formula>0.48</formula>
      <formula>0.5</formula>
    </cfRule>
    <cfRule type="cellIs" dxfId="7093" priority="5847" stopIfTrue="1" operator="between">
      <formula>0</formula>
      <formula>0.255</formula>
    </cfRule>
  </conditionalFormatting>
  <conditionalFormatting sqref="AG231 AG233">
    <cfRule type="cellIs" dxfId="7092" priority="5838" operator="between">
      <formula>0.76</formula>
      <formula>0.95</formula>
    </cfRule>
    <cfRule type="cellIs" dxfId="7091" priority="5839" operator="between">
      <formula>0.51</formula>
      <formula>0.75</formula>
    </cfRule>
    <cfRule type="cellIs" dxfId="7090" priority="5840" operator="greaterThan">
      <formula>1</formula>
    </cfRule>
    <cfRule type="cellIs" dxfId="7089" priority="5841" operator="between">
      <formula>0.95</formula>
      <formula>1</formula>
    </cfRule>
    <cfRule type="cellIs" dxfId="7088" priority="5842" stopIfTrue="1" operator="between">
      <formula>0</formula>
      <formula>0.5</formula>
    </cfRule>
  </conditionalFormatting>
  <conditionalFormatting sqref="U234:V235">
    <cfRule type="cellIs" dxfId="7087" priority="5786" operator="between">
      <formula>0.376</formula>
      <formula>0.475</formula>
    </cfRule>
    <cfRule type="cellIs" dxfId="7086" priority="5787" operator="between">
      <formula>0.2551</formula>
      <formula>0.3751</formula>
    </cfRule>
    <cfRule type="cellIs" dxfId="7085" priority="5788" operator="greaterThan">
      <formula>0.505</formula>
    </cfRule>
    <cfRule type="cellIs" dxfId="7084" priority="5789" operator="between">
      <formula>0.48</formula>
      <formula>0.5</formula>
    </cfRule>
    <cfRule type="cellIs" dxfId="7083" priority="5790" stopIfTrue="1" operator="between">
      <formula>0</formula>
      <formula>0.255</formula>
    </cfRule>
  </conditionalFormatting>
  <conditionalFormatting sqref="AG234:AG235">
    <cfRule type="cellIs" dxfId="7082" priority="5781" operator="between">
      <formula>0.76</formula>
      <formula>0.95</formula>
    </cfRule>
    <cfRule type="cellIs" dxfId="7081" priority="5782" operator="between">
      <formula>0.51</formula>
      <formula>0.75</formula>
    </cfRule>
    <cfRule type="cellIs" dxfId="7080" priority="5783" operator="greaterThan">
      <formula>1</formula>
    </cfRule>
    <cfRule type="cellIs" dxfId="7079" priority="5784" operator="between">
      <formula>0.95</formula>
      <formula>1</formula>
    </cfRule>
    <cfRule type="cellIs" dxfId="7078" priority="5785" stopIfTrue="1" operator="between">
      <formula>0</formula>
      <formula>0.5</formula>
    </cfRule>
  </conditionalFormatting>
  <conditionalFormatting sqref="M198:M205">
    <cfRule type="cellIs" dxfId="7077" priority="5739" operator="between">
      <formula>0.1876</formula>
      <formula>0.2375</formula>
    </cfRule>
    <cfRule type="cellIs" dxfId="7076" priority="5740" operator="between">
      <formula>0.1251</formula>
      <formula>0.1875</formula>
    </cfRule>
    <cfRule type="cellIs" dxfId="7075" priority="5741" operator="greaterThan">
      <formula>0.25</formula>
    </cfRule>
    <cfRule type="cellIs" dxfId="7074" priority="5742" operator="between">
      <formula>0.2376</formula>
      <formula>0.25</formula>
    </cfRule>
    <cfRule type="cellIs" dxfId="7073" priority="5743" stopIfTrue="1" operator="between">
      <formula>0</formula>
      <formula>0.125</formula>
    </cfRule>
  </conditionalFormatting>
  <conditionalFormatting sqref="N198:N205">
    <cfRule type="cellIs" dxfId="7072" priority="5734" operator="between">
      <formula>0.1876</formula>
      <formula>0.2375</formula>
    </cfRule>
    <cfRule type="cellIs" dxfId="7071" priority="5735" operator="between">
      <formula>0.1251</formula>
      <formula>0.1875</formula>
    </cfRule>
    <cfRule type="cellIs" dxfId="7070" priority="5736" operator="greaterThan">
      <formula>0.25</formula>
    </cfRule>
    <cfRule type="cellIs" dxfId="7069" priority="5737" operator="between">
      <formula>0.2376</formula>
      <formula>0.25</formula>
    </cfRule>
    <cfRule type="cellIs" dxfId="7068" priority="5738" stopIfTrue="1" operator="between">
      <formula>0</formula>
      <formula>0.125</formula>
    </cfRule>
  </conditionalFormatting>
  <conditionalFormatting sqref="O198:O205">
    <cfRule type="cellIs" dxfId="7067" priority="5729" operator="between">
      <formula>0.1876</formula>
      <formula>0.2375</formula>
    </cfRule>
    <cfRule type="cellIs" dxfId="7066" priority="5730" operator="between">
      <formula>0.1251</formula>
      <formula>0.1875</formula>
    </cfRule>
    <cfRule type="cellIs" dxfId="7065" priority="5731" operator="greaterThan">
      <formula>0.25</formula>
    </cfRule>
    <cfRule type="cellIs" dxfId="7064" priority="5732" operator="between">
      <formula>0.2375</formula>
      <formula>0.25</formula>
    </cfRule>
    <cfRule type="cellIs" dxfId="7063" priority="5733" stopIfTrue="1" operator="between">
      <formula>0</formula>
      <formula>0.125</formula>
    </cfRule>
  </conditionalFormatting>
  <conditionalFormatting sqref="N206">
    <cfRule type="cellIs" dxfId="7062" priority="5724" operator="between">
      <formula>0.1876</formula>
      <formula>0.2375</formula>
    </cfRule>
    <cfRule type="cellIs" dxfId="7061" priority="5725" operator="between">
      <formula>0.1251</formula>
      <formula>0.1875</formula>
    </cfRule>
    <cfRule type="cellIs" dxfId="7060" priority="5726" operator="greaterThan">
      <formula>0.25</formula>
    </cfRule>
    <cfRule type="cellIs" dxfId="7059" priority="5727" operator="between">
      <formula>0.2376</formula>
      <formula>0.25</formula>
    </cfRule>
    <cfRule type="cellIs" dxfId="7058" priority="5728" stopIfTrue="1" operator="between">
      <formula>0</formula>
      <formula>0.125</formula>
    </cfRule>
  </conditionalFormatting>
  <conditionalFormatting sqref="AG29 AI29 Z29">
    <cfRule type="cellIs" dxfId="7057" priority="5719" operator="between">
      <formula>0.76</formula>
      <formula>0.95</formula>
    </cfRule>
    <cfRule type="cellIs" dxfId="7056" priority="5720" operator="between">
      <formula>0.51</formula>
      <formula>0.75</formula>
    </cfRule>
    <cfRule type="cellIs" dxfId="7055" priority="5721" operator="greaterThan">
      <formula>1</formula>
    </cfRule>
    <cfRule type="cellIs" dxfId="7054" priority="5722" operator="between">
      <formula>0.95</formula>
      <formula>1</formula>
    </cfRule>
    <cfRule type="cellIs" dxfId="7053" priority="5723" stopIfTrue="1" operator="between">
      <formula>0</formula>
      <formula>0.5</formula>
    </cfRule>
  </conditionalFormatting>
  <conditionalFormatting sqref="R29:S29">
    <cfRule type="cellIs" dxfId="7052" priority="5714" operator="between">
      <formula>0.76</formula>
      <formula>0.95</formula>
    </cfRule>
    <cfRule type="cellIs" dxfId="7051" priority="5715" operator="between">
      <formula>0.51</formula>
      <formula>0.75</formula>
    </cfRule>
    <cfRule type="cellIs" dxfId="7050" priority="5716" operator="greaterThan">
      <formula>1</formula>
    </cfRule>
    <cfRule type="cellIs" dxfId="7049" priority="5717" operator="between">
      <formula>0.95</formula>
      <formula>1</formula>
    </cfRule>
    <cfRule type="cellIs" dxfId="7048" priority="5718" stopIfTrue="1" operator="between">
      <formula>0</formula>
      <formula>0.5</formula>
    </cfRule>
  </conditionalFormatting>
  <conditionalFormatting sqref="Y29">
    <cfRule type="cellIs" dxfId="7047" priority="5709" operator="between">
      <formula>0.76</formula>
      <formula>0.95</formula>
    </cfRule>
    <cfRule type="cellIs" dxfId="7046" priority="5710" operator="between">
      <formula>0.51</formula>
      <formula>0.75</formula>
    </cfRule>
    <cfRule type="cellIs" dxfId="7045" priority="5711" operator="greaterThan">
      <formula>1</formula>
    </cfRule>
    <cfRule type="cellIs" dxfId="7044" priority="5712" operator="between">
      <formula>0.95</formula>
      <formula>1</formula>
    </cfRule>
    <cfRule type="cellIs" dxfId="7043" priority="5713" stopIfTrue="1" operator="between">
      <formula>0</formula>
      <formula>0.5</formula>
    </cfRule>
  </conditionalFormatting>
  <conditionalFormatting sqref="AF29">
    <cfRule type="cellIs" dxfId="7042" priority="5704" operator="between">
      <formula>0.76</formula>
      <formula>0.95</formula>
    </cfRule>
    <cfRule type="cellIs" dxfId="7041" priority="5705" operator="between">
      <formula>0.51</formula>
      <formula>0.75</formula>
    </cfRule>
    <cfRule type="cellIs" dxfId="7040" priority="5706" operator="greaterThan">
      <formula>1</formula>
    </cfRule>
    <cfRule type="cellIs" dxfId="7039" priority="5707" operator="between">
      <formula>0.95</formula>
      <formula>1</formula>
    </cfRule>
    <cfRule type="cellIs" dxfId="7038" priority="5708" stopIfTrue="1" operator="between">
      <formula>0</formula>
      <formula>0.5</formula>
    </cfRule>
  </conditionalFormatting>
  <conditionalFormatting sqref="T29">
    <cfRule type="cellIs" dxfId="7037" priority="5699" operator="between">
      <formula>0.3751</formula>
      <formula>0.475</formula>
    </cfRule>
    <cfRule type="cellIs" dxfId="7036" priority="5700" operator="between">
      <formula>0.2551</formula>
      <formula>0.375</formula>
    </cfRule>
    <cfRule type="cellIs" dxfId="7035" priority="5701" operator="greaterThan">
      <formula>0.505</formula>
    </cfRule>
    <cfRule type="cellIs" dxfId="7034" priority="5702" operator="between">
      <formula>0.48</formula>
      <formula>0.5</formula>
    </cfRule>
    <cfRule type="cellIs" dxfId="7033" priority="5703" stopIfTrue="1" operator="between">
      <formula>0</formula>
      <formula>0.255</formula>
    </cfRule>
  </conditionalFormatting>
  <conditionalFormatting sqref="AA29:AC29">
    <cfRule type="cellIs" dxfId="7032" priority="5694" operator="between">
      <formula>0.56251</formula>
      <formula>0.7125</formula>
    </cfRule>
    <cfRule type="cellIs" dxfId="7031" priority="5695" operator="between">
      <formula>0.3751</formula>
      <formula>0.5625</formula>
    </cfRule>
    <cfRule type="cellIs" dxfId="7030" priority="5696" operator="greaterThan">
      <formula>0.751</formula>
    </cfRule>
    <cfRule type="cellIs" dxfId="7029" priority="5697" operator="between">
      <formula>0.71251</formula>
      <formula>0.75</formula>
    </cfRule>
    <cfRule type="cellIs" dxfId="7028" priority="5698" stopIfTrue="1" operator="between">
      <formula>0</formula>
      <formula>0.375</formula>
    </cfRule>
  </conditionalFormatting>
  <conditionalFormatting sqref="AH29">
    <cfRule type="cellIs" dxfId="7027" priority="5689" operator="between">
      <formula>0.76</formula>
      <formula>0.95</formula>
    </cfRule>
    <cfRule type="cellIs" dxfId="7026" priority="5690" operator="between">
      <formula>0.51</formula>
      <formula>0.75</formula>
    </cfRule>
    <cfRule type="cellIs" dxfId="7025" priority="5691" operator="greaterThan">
      <formula>1</formula>
    </cfRule>
    <cfRule type="cellIs" dxfId="7024" priority="5692" operator="between">
      <formula>0.95</formula>
      <formula>1</formula>
    </cfRule>
    <cfRule type="cellIs" dxfId="7023" priority="5693" stopIfTrue="1" operator="between">
      <formula>0</formula>
      <formula>0.5</formula>
    </cfRule>
  </conditionalFormatting>
  <conditionalFormatting sqref="U29:V29">
    <cfRule type="cellIs" dxfId="7022" priority="5679" operator="between">
      <formula>0.376</formula>
      <formula>0.475</formula>
    </cfRule>
    <cfRule type="cellIs" dxfId="7021" priority="5680" operator="between">
      <formula>0.2551</formula>
      <formula>0.3751</formula>
    </cfRule>
    <cfRule type="cellIs" dxfId="7020" priority="5681" operator="greaterThan">
      <formula>0.505</formula>
    </cfRule>
    <cfRule type="cellIs" dxfId="7019" priority="5682" operator="between">
      <formula>0.48</formula>
      <formula>0.5</formula>
    </cfRule>
    <cfRule type="cellIs" dxfId="7018" priority="5683" stopIfTrue="1" operator="between">
      <formula>0</formula>
      <formula>0.255</formula>
    </cfRule>
  </conditionalFormatting>
  <conditionalFormatting sqref="Y290 AF290 R290 AH290:AI290">
    <cfRule type="cellIs" dxfId="7017" priority="5632" operator="between">
      <formula>0.76</formula>
      <formula>0.95</formula>
    </cfRule>
    <cfRule type="cellIs" dxfId="7016" priority="5633" operator="between">
      <formula>0.51</formula>
      <formula>0.75</formula>
    </cfRule>
    <cfRule type="cellIs" dxfId="7015" priority="5634" operator="greaterThan">
      <formula>1</formula>
    </cfRule>
    <cfRule type="cellIs" dxfId="7014" priority="5635" operator="between">
      <formula>0.95</formula>
      <formula>1</formula>
    </cfRule>
    <cfRule type="cellIs" dxfId="7013" priority="5636" stopIfTrue="1" operator="between">
      <formula>0</formula>
      <formula>0.5</formula>
    </cfRule>
  </conditionalFormatting>
  <conditionalFormatting sqref="T290">
    <cfRule type="cellIs" dxfId="7012" priority="5627" operator="between">
      <formula>0.3751</formula>
      <formula>0.475</formula>
    </cfRule>
    <cfRule type="cellIs" dxfId="7011" priority="5628" operator="between">
      <formula>0.2551</formula>
      <formula>0.375</formula>
    </cfRule>
    <cfRule type="cellIs" dxfId="7010" priority="5629" operator="greaterThan">
      <formula>0.505</formula>
    </cfRule>
    <cfRule type="cellIs" dxfId="7009" priority="5630" operator="between">
      <formula>0.48</formula>
      <formula>0.5</formula>
    </cfRule>
    <cfRule type="cellIs" dxfId="7008" priority="5631" stopIfTrue="1" operator="between">
      <formula>0</formula>
      <formula>0.255</formula>
    </cfRule>
  </conditionalFormatting>
  <conditionalFormatting sqref="AA290:AB290">
    <cfRule type="cellIs" dxfId="7007" priority="5622" operator="between">
      <formula>0.56251</formula>
      <formula>0.7125</formula>
    </cfRule>
    <cfRule type="cellIs" dxfId="7006" priority="5623" operator="between">
      <formula>0.3751</formula>
      <formula>0.5625</formula>
    </cfRule>
    <cfRule type="cellIs" dxfId="7005" priority="5624" operator="greaterThan">
      <formula>0.751</formula>
    </cfRule>
    <cfRule type="cellIs" dxfId="7004" priority="5625" operator="between">
      <formula>0.71251</formula>
      <formula>0.75</formula>
    </cfRule>
    <cfRule type="cellIs" dxfId="7003" priority="5626" stopIfTrue="1" operator="between">
      <formula>0</formula>
      <formula>0.375</formula>
    </cfRule>
  </conditionalFormatting>
  <conditionalFormatting sqref="U290">
    <cfRule type="cellIs" dxfId="7002" priority="5612" operator="between">
      <formula>0.376</formula>
      <formula>0.475</formula>
    </cfRule>
    <cfRule type="cellIs" dxfId="7001" priority="5613" operator="between">
      <formula>0.2551</formula>
      <formula>0.3751</formula>
    </cfRule>
    <cfRule type="cellIs" dxfId="7000" priority="5614" operator="greaterThan">
      <formula>0.505</formula>
    </cfRule>
    <cfRule type="cellIs" dxfId="6999" priority="5615" operator="between">
      <formula>0.48</formula>
      <formula>0.5</formula>
    </cfRule>
    <cfRule type="cellIs" dxfId="6998" priority="5616" stopIfTrue="1" operator="between">
      <formula>0</formula>
      <formula>0.255</formula>
    </cfRule>
  </conditionalFormatting>
  <conditionalFormatting sqref="S290">
    <cfRule type="cellIs" dxfId="6997" priority="5587" operator="between">
      <formula>0.76</formula>
      <formula>0.95</formula>
    </cfRule>
    <cfRule type="cellIs" dxfId="6996" priority="5588" operator="between">
      <formula>0.51</formula>
      <formula>0.75</formula>
    </cfRule>
    <cfRule type="cellIs" dxfId="6995" priority="5589" operator="greaterThan">
      <formula>1</formula>
    </cfRule>
    <cfRule type="cellIs" dxfId="6994" priority="5590" operator="between">
      <formula>0.95</formula>
      <formula>1</formula>
    </cfRule>
    <cfRule type="cellIs" dxfId="6993" priority="5591" stopIfTrue="1" operator="between">
      <formula>0</formula>
      <formula>0.5</formula>
    </cfRule>
  </conditionalFormatting>
  <conditionalFormatting sqref="Z290">
    <cfRule type="cellIs" dxfId="6992" priority="5582" operator="between">
      <formula>0.76</formula>
      <formula>0.95</formula>
    </cfRule>
    <cfRule type="cellIs" dxfId="6991" priority="5583" operator="between">
      <formula>0.51</formula>
      <formula>0.75</formula>
    </cfRule>
    <cfRule type="cellIs" dxfId="6990" priority="5584" operator="greaterThan">
      <formula>1</formula>
    </cfRule>
    <cfRule type="cellIs" dxfId="6989" priority="5585" operator="between">
      <formula>0.95</formula>
      <formula>1</formula>
    </cfRule>
    <cfRule type="cellIs" dxfId="6988" priority="5586" stopIfTrue="1" operator="between">
      <formula>0</formula>
      <formula>0.5</formula>
    </cfRule>
  </conditionalFormatting>
  <conditionalFormatting sqref="AG290">
    <cfRule type="cellIs" dxfId="6987" priority="5577" operator="between">
      <formula>0.76</formula>
      <formula>0.95</formula>
    </cfRule>
    <cfRule type="cellIs" dxfId="6986" priority="5578" operator="between">
      <formula>0.51</formula>
      <formula>0.75</formula>
    </cfRule>
    <cfRule type="cellIs" dxfId="6985" priority="5579" operator="greaterThan">
      <formula>1</formula>
    </cfRule>
    <cfRule type="cellIs" dxfId="6984" priority="5580" operator="between">
      <formula>0.95</formula>
      <formula>1</formula>
    </cfRule>
    <cfRule type="cellIs" dxfId="6983" priority="5581" stopIfTrue="1" operator="between">
      <formula>0</formula>
      <formula>0.5</formula>
    </cfRule>
  </conditionalFormatting>
  <conditionalFormatting sqref="R197 Y197 AF197 AH197:AI197">
    <cfRule type="cellIs" dxfId="6982" priority="5550" operator="between">
      <formula>0.76</formula>
      <formula>0.95</formula>
    </cfRule>
    <cfRule type="cellIs" dxfId="6981" priority="5551" operator="between">
      <formula>0.51</formula>
      <formula>0.75</formula>
    </cfRule>
    <cfRule type="cellIs" dxfId="6980" priority="5552" operator="greaterThan">
      <formula>1</formula>
    </cfRule>
    <cfRule type="cellIs" dxfId="6979" priority="5553" operator="between">
      <formula>0.95</formula>
      <formula>1</formula>
    </cfRule>
    <cfRule type="cellIs" dxfId="6978" priority="5554" stopIfTrue="1" operator="between">
      <formula>0</formula>
      <formula>0.5</formula>
    </cfRule>
  </conditionalFormatting>
  <conditionalFormatting sqref="T197">
    <cfRule type="cellIs" dxfId="6977" priority="5545" operator="between">
      <formula>0.3751</formula>
      <formula>0.475</formula>
    </cfRule>
    <cfRule type="cellIs" dxfId="6976" priority="5546" operator="between">
      <formula>0.2551</formula>
      <formula>0.375</formula>
    </cfRule>
    <cfRule type="cellIs" dxfId="6975" priority="5547" operator="greaterThan">
      <formula>0.505</formula>
    </cfRule>
    <cfRule type="cellIs" dxfId="6974" priority="5548" operator="between">
      <formula>0.48</formula>
      <formula>0.5</formula>
    </cfRule>
    <cfRule type="cellIs" dxfId="6973" priority="5549" stopIfTrue="1" operator="between">
      <formula>0</formula>
      <formula>0.255</formula>
    </cfRule>
  </conditionalFormatting>
  <conditionalFormatting sqref="AA197:AB197">
    <cfRule type="cellIs" dxfId="6972" priority="5540" operator="between">
      <formula>0.56251</formula>
      <formula>0.7125</formula>
    </cfRule>
    <cfRule type="cellIs" dxfId="6971" priority="5541" operator="between">
      <formula>0.3751</formula>
      <formula>0.5625</formula>
    </cfRule>
    <cfRule type="cellIs" dxfId="6970" priority="5542" operator="greaterThan">
      <formula>0.751</formula>
    </cfRule>
    <cfRule type="cellIs" dxfId="6969" priority="5543" operator="between">
      <formula>0.71251</formula>
      <formula>0.75</formula>
    </cfRule>
    <cfRule type="cellIs" dxfId="6968" priority="5544" stopIfTrue="1" operator="between">
      <formula>0</formula>
      <formula>0.375</formula>
    </cfRule>
  </conditionalFormatting>
  <conditionalFormatting sqref="U197">
    <cfRule type="cellIs" dxfId="6967" priority="5535" operator="between">
      <formula>0.376</formula>
      <formula>0.475</formula>
    </cfRule>
    <cfRule type="cellIs" dxfId="6966" priority="5536" operator="between">
      <formula>0.2551</formula>
      <formula>0.3751</formula>
    </cfRule>
    <cfRule type="cellIs" dxfId="6965" priority="5537" operator="greaterThan">
      <formula>0.505</formula>
    </cfRule>
    <cfRule type="cellIs" dxfId="6964" priority="5538" operator="between">
      <formula>0.48</formula>
      <formula>0.5</formula>
    </cfRule>
    <cfRule type="cellIs" dxfId="6963" priority="5539" stopIfTrue="1" operator="between">
      <formula>0</formula>
      <formula>0.255</formula>
    </cfRule>
  </conditionalFormatting>
  <conditionalFormatting sqref="AG197">
    <cfRule type="cellIs" dxfId="6962" priority="5527" operator="between">
      <formula>0.76</formula>
      <formula>0.95</formula>
    </cfRule>
    <cfRule type="cellIs" dxfId="6961" priority="5528" operator="between">
      <formula>0.51</formula>
      <formula>0.75</formula>
    </cfRule>
    <cfRule type="cellIs" dxfId="6960" priority="5529" operator="greaterThan">
      <formula>1</formula>
    </cfRule>
    <cfRule type="cellIs" dxfId="6959" priority="5530" operator="between">
      <formula>0.95</formula>
      <formula>1</formula>
    </cfRule>
    <cfRule type="cellIs" dxfId="6958" priority="5531" stopIfTrue="1" operator="between">
      <formula>0</formula>
      <formula>0.5</formula>
    </cfRule>
  </conditionalFormatting>
  <conditionalFormatting sqref="Z197">
    <cfRule type="cellIs" dxfId="6957" priority="5522" operator="between">
      <formula>0.76</formula>
      <formula>0.95</formula>
    </cfRule>
    <cfRule type="cellIs" dxfId="6956" priority="5523" operator="between">
      <formula>0.51</formula>
      <formula>0.75</formula>
    </cfRule>
    <cfRule type="cellIs" dxfId="6955" priority="5524" operator="greaterThan">
      <formula>1</formula>
    </cfRule>
    <cfRule type="cellIs" dxfId="6954" priority="5525" operator="between">
      <formula>0.95</formula>
      <formula>1</formula>
    </cfRule>
    <cfRule type="cellIs" dxfId="6953" priority="5526" stopIfTrue="1" operator="between">
      <formula>0</formula>
      <formula>0.5</formula>
    </cfRule>
  </conditionalFormatting>
  <conditionalFormatting sqref="AC197">
    <cfRule type="cellIs" dxfId="6952" priority="5517" operator="between">
      <formula>0.56251</formula>
      <formula>0.7125</formula>
    </cfRule>
    <cfRule type="cellIs" dxfId="6951" priority="5518" operator="between">
      <formula>0.3751</formula>
      <formula>0.5625</formula>
    </cfRule>
    <cfRule type="cellIs" dxfId="6950" priority="5519" operator="greaterThan">
      <formula>0.751</formula>
    </cfRule>
    <cfRule type="cellIs" dxfId="6949" priority="5520" operator="between">
      <formula>0.71251</formula>
      <formula>0.75</formula>
    </cfRule>
    <cfRule type="cellIs" dxfId="6948" priority="5521" stopIfTrue="1" operator="between">
      <formula>0</formula>
      <formula>0.375</formula>
    </cfRule>
  </conditionalFormatting>
  <conditionalFormatting sqref="S197">
    <cfRule type="cellIs" dxfId="6947" priority="5512" operator="between">
      <formula>0.76</formula>
      <formula>0.95</formula>
    </cfRule>
    <cfRule type="cellIs" dxfId="6946" priority="5513" operator="between">
      <formula>0.51</formula>
      <formula>0.75</formula>
    </cfRule>
    <cfRule type="cellIs" dxfId="6945" priority="5514" operator="greaterThan">
      <formula>1</formula>
    </cfRule>
    <cfRule type="cellIs" dxfId="6944" priority="5515" operator="between">
      <formula>0.95</formula>
      <formula>1</formula>
    </cfRule>
    <cfRule type="cellIs" dxfId="6943" priority="5516" stopIfTrue="1" operator="between">
      <formula>0</formula>
      <formula>0.5</formula>
    </cfRule>
  </conditionalFormatting>
  <conditionalFormatting sqref="V197">
    <cfRule type="cellIs" dxfId="6942" priority="5507" operator="between">
      <formula>0.376</formula>
      <formula>0.475</formula>
    </cfRule>
    <cfRule type="cellIs" dxfId="6941" priority="5508" operator="between">
      <formula>0.2551</formula>
      <formula>0.3751</formula>
    </cfRule>
    <cfRule type="cellIs" dxfId="6940" priority="5509" operator="greaterThan">
      <formula>0.505</formula>
    </cfRule>
    <cfRule type="cellIs" dxfId="6939" priority="5510" operator="between">
      <formula>0.48</formula>
      <formula>0.5</formula>
    </cfRule>
    <cfRule type="cellIs" dxfId="6938" priority="5511" stopIfTrue="1" operator="between">
      <formula>0</formula>
      <formula>0.255</formula>
    </cfRule>
  </conditionalFormatting>
  <conditionalFormatting sqref="M197">
    <cfRule type="cellIs" dxfId="6937" priority="5497" operator="between">
      <formula>0.1876</formula>
      <formula>0.2375</formula>
    </cfRule>
    <cfRule type="cellIs" dxfId="6936" priority="5498" operator="between">
      <formula>0.1251</formula>
      <formula>0.1875</formula>
    </cfRule>
    <cfRule type="cellIs" dxfId="6935" priority="5499" operator="greaterThan">
      <formula>0.25</formula>
    </cfRule>
    <cfRule type="cellIs" dxfId="6934" priority="5500" operator="between">
      <formula>0.2376</formula>
      <formula>0.25</formula>
    </cfRule>
    <cfRule type="cellIs" dxfId="6933" priority="5501" stopIfTrue="1" operator="between">
      <formula>0</formula>
      <formula>0.125</formula>
    </cfRule>
  </conditionalFormatting>
  <conditionalFormatting sqref="N197">
    <cfRule type="cellIs" dxfId="6932" priority="5492" operator="between">
      <formula>0.1876</formula>
      <formula>0.2375</formula>
    </cfRule>
    <cfRule type="cellIs" dxfId="6931" priority="5493" operator="between">
      <formula>0.1251</formula>
      <formula>0.1875</formula>
    </cfRule>
    <cfRule type="cellIs" dxfId="6930" priority="5494" operator="greaterThan">
      <formula>0.25</formula>
    </cfRule>
    <cfRule type="cellIs" dxfId="6929" priority="5495" operator="between">
      <formula>0.2376</formula>
      <formula>0.25</formula>
    </cfRule>
    <cfRule type="cellIs" dxfId="6928" priority="5496" stopIfTrue="1" operator="between">
      <formula>0</formula>
      <formula>0.125</formula>
    </cfRule>
  </conditionalFormatting>
  <conditionalFormatting sqref="O197">
    <cfRule type="cellIs" dxfId="6927" priority="5487" operator="between">
      <formula>0.1876</formula>
      <formula>0.2375</formula>
    </cfRule>
    <cfRule type="cellIs" dxfId="6926" priority="5488" operator="between">
      <formula>0.1251</formula>
      <formula>0.1875</formula>
    </cfRule>
    <cfRule type="cellIs" dxfId="6925" priority="5489" operator="greaterThan">
      <formula>0.25</formula>
    </cfRule>
    <cfRule type="cellIs" dxfId="6924" priority="5490" operator="between">
      <formula>0.2375</formula>
      <formula>0.25</formula>
    </cfRule>
    <cfRule type="cellIs" dxfId="6923" priority="5491" stopIfTrue="1" operator="between">
      <formula>0</formula>
      <formula>0.125</formula>
    </cfRule>
  </conditionalFormatting>
  <conditionalFormatting sqref="O15">
    <cfRule type="cellIs" dxfId="6922" priority="5331" operator="between">
      <formula>0.1876</formula>
      <formula>0.2375</formula>
    </cfRule>
    <cfRule type="cellIs" dxfId="6921" priority="5332" operator="between">
      <formula>0.1251</formula>
      <formula>0.1875</formula>
    </cfRule>
    <cfRule type="cellIs" dxfId="6920" priority="5333" operator="greaterThan">
      <formula>0.25</formula>
    </cfRule>
    <cfRule type="cellIs" dxfId="6919" priority="5334" operator="between">
      <formula>0.2376</formula>
      <formula>0.25</formula>
    </cfRule>
    <cfRule type="cellIs" dxfId="6918" priority="5335" stopIfTrue="1" operator="between">
      <formula>0</formula>
      <formula>0.125</formula>
    </cfRule>
  </conditionalFormatting>
  <conditionalFormatting sqref="N16">
    <cfRule type="cellIs" dxfId="6917" priority="5326" operator="between">
      <formula>0.1876</formula>
      <formula>0.2375</formula>
    </cfRule>
    <cfRule type="cellIs" dxfId="6916" priority="5327" operator="between">
      <formula>0.1251</formula>
      <formula>0.1875</formula>
    </cfRule>
    <cfRule type="cellIs" dxfId="6915" priority="5328" operator="greaterThan">
      <formula>0.25</formula>
    </cfRule>
    <cfRule type="cellIs" dxfId="6914" priority="5329" operator="between">
      <formula>0.2376</formula>
      <formula>0.25</formula>
    </cfRule>
    <cfRule type="cellIs" dxfId="6913" priority="5330" stopIfTrue="1" operator="between">
      <formula>0</formula>
      <formula>0.125</formula>
    </cfRule>
  </conditionalFormatting>
  <conditionalFormatting sqref="O16">
    <cfRule type="cellIs" dxfId="6912" priority="5321" operator="between">
      <formula>0.1876</formula>
      <formula>0.2375</formula>
    </cfRule>
    <cfRule type="cellIs" dxfId="6911" priority="5322" operator="between">
      <formula>0.1251</formula>
      <formula>0.1875</formula>
    </cfRule>
    <cfRule type="cellIs" dxfId="6910" priority="5323" operator="greaterThan">
      <formula>0.25</formula>
    </cfRule>
    <cfRule type="cellIs" dxfId="6909" priority="5324" operator="between">
      <formula>0.2376</formula>
      <formula>0.25</formula>
    </cfRule>
    <cfRule type="cellIs" dxfId="6908" priority="5325" stopIfTrue="1" operator="between">
      <formula>0</formula>
      <formula>0.125</formula>
    </cfRule>
  </conditionalFormatting>
  <conditionalFormatting sqref="N17:N18 N22:N27 N85:N89 N48 N50 N54 N57 N66:N68 N32 N29:N30">
    <cfRule type="cellIs" dxfId="6907" priority="5316" operator="between">
      <formula>0.1876</formula>
      <formula>0.2375</formula>
    </cfRule>
    <cfRule type="cellIs" dxfId="6906" priority="5317" operator="between">
      <formula>0.1251</formula>
      <formula>0.1875</formula>
    </cfRule>
    <cfRule type="cellIs" dxfId="6905" priority="5318" operator="greaterThan">
      <formula>0.25</formula>
    </cfRule>
    <cfRule type="cellIs" dxfId="6904" priority="5319" operator="between">
      <formula>0.2376</formula>
      <formula>0.25</formula>
    </cfRule>
    <cfRule type="cellIs" dxfId="6903" priority="5320" stopIfTrue="1" operator="between">
      <formula>0</formula>
      <formula>0.125</formula>
    </cfRule>
  </conditionalFormatting>
  <conditionalFormatting sqref="O17:O18 O22:O27 O48 O50 O54 O57 O66:O68 O32 O85:O89 O29:O30">
    <cfRule type="cellIs" dxfId="6902" priority="5311" operator="between">
      <formula>0.1876</formula>
      <formula>0.2375</formula>
    </cfRule>
    <cfRule type="cellIs" dxfId="6901" priority="5312" operator="between">
      <formula>0.1251</formula>
      <formula>0.1875</formula>
    </cfRule>
    <cfRule type="cellIs" dxfId="6900" priority="5313" operator="greaterThan">
      <formula>0.25</formula>
    </cfRule>
    <cfRule type="cellIs" dxfId="6899" priority="5314" operator="between">
      <formula>0.2376</formula>
      <formula>0.25</formula>
    </cfRule>
    <cfRule type="cellIs" dxfId="6898" priority="5315" stopIfTrue="1" operator="between">
      <formula>0</formula>
      <formula>0.125</formula>
    </cfRule>
  </conditionalFormatting>
  <conditionalFormatting sqref="M16">
    <cfRule type="cellIs" dxfId="6897" priority="5306" operator="between">
      <formula>0.1876</formula>
      <formula>0.2375</formula>
    </cfRule>
    <cfRule type="cellIs" dxfId="6896" priority="5307" operator="between">
      <formula>0.1251</formula>
      <formula>0.1875</formula>
    </cfRule>
    <cfRule type="cellIs" dxfId="6895" priority="5308" operator="greaterThan">
      <formula>0.25</formula>
    </cfRule>
    <cfRule type="cellIs" dxfId="6894" priority="5309" operator="between">
      <formula>0.2375</formula>
      <formula>0.25</formula>
    </cfRule>
    <cfRule type="cellIs" dxfId="6893" priority="5310" stopIfTrue="1" operator="between">
      <formula>0</formula>
      <formula>0.125</formula>
    </cfRule>
  </conditionalFormatting>
  <conditionalFormatting sqref="M17:M18 M22:M27 M85:M89 M48 M50 M54 M57 M66:M68 M32 M29:M30">
    <cfRule type="cellIs" dxfId="6892" priority="5301" operator="between">
      <formula>0.1876</formula>
      <formula>0.2375</formula>
    </cfRule>
    <cfRule type="cellIs" dxfId="6891" priority="5302" operator="between">
      <formula>0.1251</formula>
      <formula>0.1875</formula>
    </cfRule>
    <cfRule type="cellIs" dxfId="6890" priority="5303" operator="greaterThan">
      <formula>0.25</formula>
    </cfRule>
    <cfRule type="cellIs" dxfId="6889" priority="5304" operator="between">
      <formula>0.2375</formula>
      <formula>0.25</formula>
    </cfRule>
    <cfRule type="cellIs" dxfId="6888" priority="5305" stopIfTrue="1" operator="between">
      <formula>0</formula>
      <formula>0.125</formula>
    </cfRule>
  </conditionalFormatting>
  <conditionalFormatting sqref="L133">
    <cfRule type="cellIs" dxfId="6887" priority="5296" operator="between">
      <formula>0.76</formula>
      <formula>0.95</formula>
    </cfRule>
    <cfRule type="cellIs" dxfId="6886" priority="5297" operator="between">
      <formula>0.51</formula>
      <formula>0.75</formula>
    </cfRule>
    <cfRule type="cellIs" dxfId="6885" priority="5298" operator="greaterThan">
      <formula>1</formula>
    </cfRule>
    <cfRule type="cellIs" dxfId="6884" priority="5299" operator="between">
      <formula>0.96</formula>
      <formula>1</formula>
    </cfRule>
    <cfRule type="cellIs" dxfId="6883" priority="5300" stopIfTrue="1" operator="between">
      <formula>0</formula>
      <formula>0.5</formula>
    </cfRule>
  </conditionalFormatting>
  <conditionalFormatting sqref="K16">
    <cfRule type="cellIs" dxfId="6882" priority="5291" operator="between">
      <formula>0.76</formula>
      <formula>0.95</formula>
    </cfRule>
    <cfRule type="cellIs" dxfId="6881" priority="5292" operator="between">
      <formula>0.51</formula>
      <formula>0.75</formula>
    </cfRule>
    <cfRule type="cellIs" dxfId="6880" priority="5293" operator="greaterThan">
      <formula>1</formula>
    </cfRule>
    <cfRule type="cellIs" dxfId="6879" priority="5294" operator="between">
      <formula>0.96</formula>
      <formula>1</formula>
    </cfRule>
    <cfRule type="cellIs" dxfId="6878" priority="5295" stopIfTrue="1" operator="between">
      <formula>0</formula>
      <formula>0.5</formula>
    </cfRule>
  </conditionalFormatting>
  <conditionalFormatting sqref="L16">
    <cfRule type="cellIs" dxfId="6877" priority="5286" operator="between">
      <formula>0.76</formula>
      <formula>0.95</formula>
    </cfRule>
    <cfRule type="cellIs" dxfId="6876" priority="5287" operator="between">
      <formula>0.51</formula>
      <formula>0.75</formula>
    </cfRule>
    <cfRule type="cellIs" dxfId="6875" priority="5288" operator="greaterThan">
      <formula>1</formula>
    </cfRule>
    <cfRule type="cellIs" dxfId="6874" priority="5289" operator="between">
      <formula>0.96</formula>
      <formula>1</formula>
    </cfRule>
    <cfRule type="cellIs" dxfId="6873" priority="5290" stopIfTrue="1" operator="between">
      <formula>0</formula>
      <formula>0.5</formula>
    </cfRule>
  </conditionalFormatting>
  <conditionalFormatting sqref="K17:K18 K22:K27 K48 K50 K54 K66:K68 K85:K89 K32 K29:K30">
    <cfRule type="cellIs" dxfId="6872" priority="5281" operator="between">
      <formula>0.76</formula>
      <formula>0.95</formula>
    </cfRule>
    <cfRule type="cellIs" dxfId="6871" priority="5282" operator="between">
      <formula>0.51</formula>
      <formula>0.75</formula>
    </cfRule>
    <cfRule type="cellIs" dxfId="6870" priority="5283" operator="greaterThan">
      <formula>1</formula>
    </cfRule>
    <cfRule type="cellIs" dxfId="6869" priority="5284" operator="between">
      <formula>0.96</formula>
      <formula>1</formula>
    </cfRule>
    <cfRule type="cellIs" dxfId="6868" priority="5285" stopIfTrue="1" operator="between">
      <formula>0</formula>
      <formula>0.5</formula>
    </cfRule>
  </conditionalFormatting>
  <conditionalFormatting sqref="L17:L18 L22:L27 L48 L50 L54 L66:L68 L32 L85:L89 L29:L30">
    <cfRule type="cellIs" dxfId="6867" priority="5276" operator="between">
      <formula>0.76</formula>
      <formula>0.95</formula>
    </cfRule>
    <cfRule type="cellIs" dxfId="6866" priority="5277" operator="between">
      <formula>0.51</formula>
      <formula>0.75</formula>
    </cfRule>
    <cfRule type="cellIs" dxfId="6865" priority="5278" operator="greaterThan">
      <formula>1</formula>
    </cfRule>
    <cfRule type="cellIs" dxfId="6864" priority="5279" operator="between">
      <formula>0.96</formula>
      <formula>1</formula>
    </cfRule>
    <cfRule type="cellIs" dxfId="6863" priority="5280" stopIfTrue="1" operator="between">
      <formula>0</formula>
      <formula>0.5</formula>
    </cfRule>
  </conditionalFormatting>
  <conditionalFormatting sqref="L137">
    <cfRule type="cellIs" dxfId="6862" priority="5271" operator="between">
      <formula>0.76</formula>
      <formula>0.95</formula>
    </cfRule>
    <cfRule type="cellIs" dxfId="6861" priority="5272" operator="between">
      <formula>0.51</formula>
      <formula>0.75</formula>
    </cfRule>
    <cfRule type="cellIs" dxfId="6860" priority="5273" operator="greaterThan">
      <formula>1</formula>
    </cfRule>
    <cfRule type="cellIs" dxfId="6859" priority="5274" operator="between">
      <formula>0.96</formula>
      <formula>1</formula>
    </cfRule>
    <cfRule type="cellIs" dxfId="6858" priority="5275" stopIfTrue="1" operator="between">
      <formula>0</formula>
      <formula>0.5</formula>
    </cfRule>
  </conditionalFormatting>
  <conditionalFormatting sqref="M209">
    <cfRule type="cellIs" dxfId="6857" priority="5251" operator="between">
      <formula>0.1876</formula>
      <formula>0.2375</formula>
    </cfRule>
    <cfRule type="cellIs" dxfId="6856" priority="5252" operator="between">
      <formula>0.1251</formula>
      <formula>0.1875</formula>
    </cfRule>
    <cfRule type="cellIs" dxfId="6855" priority="5253" operator="greaterThan">
      <formula>0.25</formula>
    </cfRule>
    <cfRule type="cellIs" dxfId="6854" priority="5254" operator="between">
      <formula>0.2376</formula>
      <formula>0.25</formula>
    </cfRule>
    <cfRule type="cellIs" dxfId="6853" priority="5255" stopIfTrue="1" operator="between">
      <formula>0</formula>
      <formula>0.125</formula>
    </cfRule>
  </conditionalFormatting>
  <conditionalFormatting sqref="N209">
    <cfRule type="cellIs" dxfId="6852" priority="5246" operator="between">
      <formula>0.1876</formula>
      <formula>0.2375</formula>
    </cfRule>
    <cfRule type="cellIs" dxfId="6851" priority="5247" operator="between">
      <formula>0.1251</formula>
      <formula>0.1875</formula>
    </cfRule>
    <cfRule type="cellIs" dxfId="6850" priority="5248" operator="greaterThan">
      <formula>0.25</formula>
    </cfRule>
    <cfRule type="cellIs" dxfId="6849" priority="5249" operator="between">
      <formula>0.2376</formula>
      <formula>0.25</formula>
    </cfRule>
    <cfRule type="cellIs" dxfId="6848" priority="5250" stopIfTrue="1" operator="between">
      <formula>0</formula>
      <formula>0.125</formula>
    </cfRule>
  </conditionalFormatting>
  <conditionalFormatting sqref="O209">
    <cfRule type="cellIs" dxfId="6847" priority="5241" operator="between">
      <formula>0.1876</formula>
      <formula>0.2375</formula>
    </cfRule>
    <cfRule type="cellIs" dxfId="6846" priority="5242" operator="between">
      <formula>0.1251</formula>
      <formula>0.1875</formula>
    </cfRule>
    <cfRule type="cellIs" dxfId="6845" priority="5243" operator="greaterThan">
      <formula>0.25</formula>
    </cfRule>
    <cfRule type="cellIs" dxfId="6844" priority="5244" operator="between">
      <formula>0.2375</formula>
      <formula>0.25</formula>
    </cfRule>
    <cfRule type="cellIs" dxfId="6843" priority="5245" stopIfTrue="1" operator="between">
      <formula>0</formula>
      <formula>0.125</formula>
    </cfRule>
  </conditionalFormatting>
  <conditionalFormatting sqref="L209">
    <cfRule type="cellIs" dxfId="6842" priority="5236" operator="between">
      <formula>0.76</formula>
      <formula>0.95</formula>
    </cfRule>
    <cfRule type="cellIs" dxfId="6841" priority="5237" operator="between">
      <formula>0.51</formula>
      <formula>0.75</formula>
    </cfRule>
    <cfRule type="cellIs" dxfId="6840" priority="5238" operator="greaterThan">
      <formula>1</formula>
    </cfRule>
    <cfRule type="cellIs" dxfId="6839" priority="5239" operator="between">
      <formula>0.96</formula>
      <formula>1</formula>
    </cfRule>
    <cfRule type="cellIs" dxfId="6838" priority="5240" stopIfTrue="1" operator="between">
      <formula>0</formula>
      <formula>0.5</formula>
    </cfRule>
  </conditionalFormatting>
  <conditionalFormatting sqref="K209">
    <cfRule type="cellIs" dxfId="6837" priority="5231" operator="between">
      <formula>0.76</formula>
      <formula>0.95</formula>
    </cfRule>
    <cfRule type="cellIs" dxfId="6836" priority="5232" operator="between">
      <formula>0.51</formula>
      <formula>0.75</formula>
    </cfRule>
    <cfRule type="cellIs" dxfId="6835" priority="5233" operator="greaterThan">
      <formula>1</formula>
    </cfRule>
    <cfRule type="cellIs" dxfId="6834" priority="5234" operator="between">
      <formula>0.96</formula>
      <formula>1</formula>
    </cfRule>
    <cfRule type="cellIs" dxfId="6833" priority="5235" stopIfTrue="1" operator="between">
      <formula>0</formula>
      <formula>0.5</formula>
    </cfRule>
  </conditionalFormatting>
  <conditionalFormatting sqref="M210">
    <cfRule type="cellIs" dxfId="6832" priority="5226" operator="between">
      <formula>0.1876</formula>
      <formula>0.2375</formula>
    </cfRule>
    <cfRule type="cellIs" dxfId="6831" priority="5227" operator="between">
      <formula>0.1251</formula>
      <formula>0.1875</formula>
    </cfRule>
    <cfRule type="cellIs" dxfId="6830" priority="5228" operator="greaterThan">
      <formula>0.25</formula>
    </cfRule>
    <cfRule type="cellIs" dxfId="6829" priority="5229" operator="between">
      <formula>0.2376</formula>
      <formula>0.25</formula>
    </cfRule>
    <cfRule type="cellIs" dxfId="6828" priority="5230" stopIfTrue="1" operator="between">
      <formula>0</formula>
      <formula>0.125</formula>
    </cfRule>
  </conditionalFormatting>
  <conditionalFormatting sqref="N210">
    <cfRule type="cellIs" dxfId="6827" priority="5221" operator="between">
      <formula>0.1876</formula>
      <formula>0.2375</formula>
    </cfRule>
    <cfRule type="cellIs" dxfId="6826" priority="5222" operator="between">
      <formula>0.1251</formula>
      <formula>0.1875</formula>
    </cfRule>
    <cfRule type="cellIs" dxfId="6825" priority="5223" operator="greaterThan">
      <formula>0.25</formula>
    </cfRule>
    <cfRule type="cellIs" dxfId="6824" priority="5224" operator="between">
      <formula>0.2376</formula>
      <formula>0.25</formula>
    </cfRule>
    <cfRule type="cellIs" dxfId="6823" priority="5225" stopIfTrue="1" operator="between">
      <formula>0</formula>
      <formula>0.125</formula>
    </cfRule>
  </conditionalFormatting>
  <conditionalFormatting sqref="O210">
    <cfRule type="cellIs" dxfId="6822" priority="5216" operator="between">
      <formula>0.1876</formula>
      <formula>0.2375</formula>
    </cfRule>
    <cfRule type="cellIs" dxfId="6821" priority="5217" operator="between">
      <formula>0.1251</formula>
      <formula>0.1875</formula>
    </cfRule>
    <cfRule type="cellIs" dxfId="6820" priority="5218" operator="greaterThan">
      <formula>0.25</formula>
    </cfRule>
    <cfRule type="cellIs" dxfId="6819" priority="5219" operator="between">
      <formula>0.2375</formula>
      <formula>0.25</formula>
    </cfRule>
    <cfRule type="cellIs" dxfId="6818" priority="5220" stopIfTrue="1" operator="between">
      <formula>0</formula>
      <formula>0.125</formula>
    </cfRule>
  </conditionalFormatting>
  <conditionalFormatting sqref="L210">
    <cfRule type="cellIs" dxfId="6817" priority="5211" operator="between">
      <formula>0.76</formula>
      <formula>0.95</formula>
    </cfRule>
    <cfRule type="cellIs" dxfId="6816" priority="5212" operator="between">
      <formula>0.51</formula>
      <formula>0.75</formula>
    </cfRule>
    <cfRule type="cellIs" dxfId="6815" priority="5213" operator="greaterThan">
      <formula>1</formula>
    </cfRule>
    <cfRule type="cellIs" dxfId="6814" priority="5214" operator="between">
      <formula>0.96</formula>
      <formula>1</formula>
    </cfRule>
    <cfRule type="cellIs" dxfId="6813" priority="5215" stopIfTrue="1" operator="between">
      <formula>0</formula>
      <formula>0.5</formula>
    </cfRule>
  </conditionalFormatting>
  <conditionalFormatting sqref="K210">
    <cfRule type="cellIs" dxfId="6812" priority="5206" operator="between">
      <formula>0.76</formula>
      <formula>0.95</formula>
    </cfRule>
    <cfRule type="cellIs" dxfId="6811" priority="5207" operator="between">
      <formula>0.51</formula>
      <formula>0.75</formula>
    </cfRule>
    <cfRule type="cellIs" dxfId="6810" priority="5208" operator="greaterThan">
      <formula>1</formula>
    </cfRule>
    <cfRule type="cellIs" dxfId="6809" priority="5209" operator="between">
      <formula>0.96</formula>
      <formula>1</formula>
    </cfRule>
    <cfRule type="cellIs" dxfId="6808" priority="5210" stopIfTrue="1" operator="between">
      <formula>0</formula>
      <formula>0.5</formula>
    </cfRule>
  </conditionalFormatting>
  <conditionalFormatting sqref="N308:O308">
    <cfRule type="cellIs" dxfId="6807" priority="5176" operator="between">
      <formula>0.1876</formula>
      <formula>0.2375</formula>
    </cfRule>
    <cfRule type="cellIs" dxfId="6806" priority="5177" operator="between">
      <formula>0.1251</formula>
      <formula>0.1875</formula>
    </cfRule>
    <cfRule type="cellIs" dxfId="6805" priority="5178" operator="greaterThan">
      <formula>0.25</formula>
    </cfRule>
    <cfRule type="cellIs" dxfId="6804" priority="5179" operator="between">
      <formula>0.2376</formula>
      <formula>0.25</formula>
    </cfRule>
    <cfRule type="cellIs" dxfId="6803" priority="5180" stopIfTrue="1" operator="between">
      <formula>0</formula>
      <formula>0.125</formula>
    </cfRule>
  </conditionalFormatting>
  <conditionalFormatting sqref="M309">
    <cfRule type="cellIs" dxfId="6802" priority="5171" operator="between">
      <formula>0.1876</formula>
      <formula>0.2375</formula>
    </cfRule>
    <cfRule type="cellIs" dxfId="6801" priority="5172" operator="between">
      <formula>0.1251</formula>
      <formula>0.1875</formula>
    </cfRule>
    <cfRule type="cellIs" dxfId="6800" priority="5173" operator="greaterThan">
      <formula>0.25</formula>
    </cfRule>
    <cfRule type="cellIs" dxfId="6799" priority="5174" operator="between">
      <formula>0.2376</formula>
      <formula>0.25</formula>
    </cfRule>
    <cfRule type="cellIs" dxfId="6798" priority="5175" stopIfTrue="1" operator="between">
      <formula>0</formula>
      <formula>0.125</formula>
    </cfRule>
  </conditionalFormatting>
  <conditionalFormatting sqref="N309">
    <cfRule type="cellIs" dxfId="6797" priority="5166" operator="between">
      <formula>0.1876</formula>
      <formula>0.2375</formula>
    </cfRule>
    <cfRule type="cellIs" dxfId="6796" priority="5167" operator="between">
      <formula>0.1251</formula>
      <formula>0.1875</formula>
    </cfRule>
    <cfRule type="cellIs" dxfId="6795" priority="5168" operator="greaterThan">
      <formula>0.25</formula>
    </cfRule>
    <cfRule type="cellIs" dxfId="6794" priority="5169" operator="between">
      <formula>0.2376</formula>
      <formula>0.25</formula>
    </cfRule>
    <cfRule type="cellIs" dxfId="6793" priority="5170" stopIfTrue="1" operator="between">
      <formula>0</formula>
      <formula>0.125</formula>
    </cfRule>
  </conditionalFormatting>
  <conditionalFormatting sqref="O309">
    <cfRule type="cellIs" dxfId="6792" priority="5161" operator="between">
      <formula>0.1876</formula>
      <formula>0.2375</formula>
    </cfRule>
    <cfRule type="cellIs" dxfId="6791" priority="5162" operator="between">
      <formula>0.1251</formula>
      <formula>0.1875</formula>
    </cfRule>
    <cfRule type="cellIs" dxfId="6790" priority="5163" operator="greaterThan">
      <formula>0.25</formula>
    </cfRule>
    <cfRule type="cellIs" dxfId="6789" priority="5164" operator="between">
      <formula>0.2375</formula>
      <formula>0.25</formula>
    </cfRule>
    <cfRule type="cellIs" dxfId="6788" priority="5165" stopIfTrue="1" operator="between">
      <formula>0</formula>
      <formula>0.125</formula>
    </cfRule>
  </conditionalFormatting>
  <conditionalFormatting sqref="L309">
    <cfRule type="cellIs" dxfId="6787" priority="5156" operator="between">
      <formula>0.76</formula>
      <formula>0.95</formula>
    </cfRule>
    <cfRule type="cellIs" dxfId="6786" priority="5157" operator="between">
      <formula>0.51</formula>
      <formula>0.75</formula>
    </cfRule>
    <cfRule type="cellIs" dxfId="6785" priority="5158" operator="greaterThan">
      <formula>1</formula>
    </cfRule>
    <cfRule type="cellIs" dxfId="6784" priority="5159" operator="between">
      <formula>0.96</formula>
      <formula>1</formula>
    </cfRule>
    <cfRule type="cellIs" dxfId="6783" priority="5160" stopIfTrue="1" operator="between">
      <formula>0</formula>
      <formula>0.5</formula>
    </cfRule>
  </conditionalFormatting>
  <conditionalFormatting sqref="K309">
    <cfRule type="cellIs" dxfId="6782" priority="5151" operator="between">
      <formula>0.76</formula>
      <formula>0.95</formula>
    </cfRule>
    <cfRule type="cellIs" dxfId="6781" priority="5152" operator="between">
      <formula>0.51</formula>
      <formula>0.75</formula>
    </cfRule>
    <cfRule type="cellIs" dxfId="6780" priority="5153" operator="greaterThan">
      <formula>1</formula>
    </cfRule>
    <cfRule type="cellIs" dxfId="6779" priority="5154" operator="between">
      <formula>0.96</formula>
      <formula>1</formula>
    </cfRule>
    <cfRule type="cellIs" dxfId="6778" priority="5155" stopIfTrue="1" operator="between">
      <formula>0</formula>
      <formula>0.5</formula>
    </cfRule>
  </conditionalFormatting>
  <conditionalFormatting sqref="M310">
    <cfRule type="cellIs" dxfId="6777" priority="5146" operator="between">
      <formula>0.1876</formula>
      <formula>0.2375</formula>
    </cfRule>
    <cfRule type="cellIs" dxfId="6776" priority="5147" operator="between">
      <formula>0.1251</formula>
      <formula>0.1875</formula>
    </cfRule>
    <cfRule type="cellIs" dxfId="6775" priority="5148" operator="greaterThan">
      <formula>0.25</formula>
    </cfRule>
    <cfRule type="cellIs" dxfId="6774" priority="5149" operator="between">
      <formula>0.2376</formula>
      <formula>0.25</formula>
    </cfRule>
    <cfRule type="cellIs" dxfId="6773" priority="5150" stopIfTrue="1" operator="between">
      <formula>0</formula>
      <formula>0.125</formula>
    </cfRule>
  </conditionalFormatting>
  <conditionalFormatting sqref="N310">
    <cfRule type="cellIs" dxfId="6772" priority="5141" operator="between">
      <formula>0.1876</formula>
      <formula>0.2375</formula>
    </cfRule>
    <cfRule type="cellIs" dxfId="6771" priority="5142" operator="between">
      <formula>0.1251</formula>
      <formula>0.1875</formula>
    </cfRule>
    <cfRule type="cellIs" dxfId="6770" priority="5143" operator="greaterThan">
      <formula>0.25</formula>
    </cfRule>
    <cfRule type="cellIs" dxfId="6769" priority="5144" operator="between">
      <formula>0.2376</formula>
      <formula>0.25</formula>
    </cfRule>
    <cfRule type="cellIs" dxfId="6768" priority="5145" stopIfTrue="1" operator="between">
      <formula>0</formula>
      <formula>0.125</formula>
    </cfRule>
  </conditionalFormatting>
  <conditionalFormatting sqref="O310">
    <cfRule type="cellIs" dxfId="6767" priority="5136" operator="between">
      <formula>0.1876</formula>
      <formula>0.2375</formula>
    </cfRule>
    <cfRule type="cellIs" dxfId="6766" priority="5137" operator="between">
      <formula>0.1251</formula>
      <formula>0.1875</formula>
    </cfRule>
    <cfRule type="cellIs" dxfId="6765" priority="5138" operator="greaterThan">
      <formula>0.25</formula>
    </cfRule>
    <cfRule type="cellIs" dxfId="6764" priority="5139" operator="between">
      <formula>0.2375</formula>
      <formula>0.25</formula>
    </cfRule>
    <cfRule type="cellIs" dxfId="6763" priority="5140" stopIfTrue="1" operator="between">
      <formula>0</formula>
      <formula>0.125</formula>
    </cfRule>
  </conditionalFormatting>
  <conditionalFormatting sqref="L310">
    <cfRule type="cellIs" dxfId="6762" priority="5131" operator="between">
      <formula>0.76</formula>
      <formula>0.95</formula>
    </cfRule>
    <cfRule type="cellIs" dxfId="6761" priority="5132" operator="between">
      <formula>0.51</formula>
      <formula>0.75</formula>
    </cfRule>
    <cfRule type="cellIs" dxfId="6760" priority="5133" operator="greaterThan">
      <formula>1</formula>
    </cfRule>
    <cfRule type="cellIs" dxfId="6759" priority="5134" operator="between">
      <formula>0.96</formula>
      <formula>1</formula>
    </cfRule>
    <cfRule type="cellIs" dxfId="6758" priority="5135" stopIfTrue="1" operator="between">
      <formula>0</formula>
      <formula>0.5</formula>
    </cfRule>
  </conditionalFormatting>
  <conditionalFormatting sqref="K310">
    <cfRule type="cellIs" dxfId="6757" priority="5126" operator="between">
      <formula>0.76</formula>
      <formula>0.95</formula>
    </cfRule>
    <cfRule type="cellIs" dxfId="6756" priority="5127" operator="between">
      <formula>0.51</formula>
      <formula>0.75</formula>
    </cfRule>
    <cfRule type="cellIs" dxfId="6755" priority="5128" operator="greaterThan">
      <formula>1</formula>
    </cfRule>
    <cfRule type="cellIs" dxfId="6754" priority="5129" operator="between">
      <formula>0.96</formula>
      <formula>1</formula>
    </cfRule>
    <cfRule type="cellIs" dxfId="6753" priority="5130" stopIfTrue="1" operator="between">
      <formula>0</formula>
      <formula>0.5</formula>
    </cfRule>
  </conditionalFormatting>
  <conditionalFormatting sqref="M361:M363 M311:M315">
    <cfRule type="cellIs" dxfId="6752" priority="5121" operator="between">
      <formula>0.1876</formula>
      <formula>0.2375</formula>
    </cfRule>
    <cfRule type="cellIs" dxfId="6751" priority="5122" operator="between">
      <formula>0.1251</formula>
      <formula>0.1875</formula>
    </cfRule>
    <cfRule type="cellIs" dxfId="6750" priority="5123" operator="greaterThan">
      <formula>0.25</formula>
    </cfRule>
    <cfRule type="cellIs" dxfId="6749" priority="5124" operator="between">
      <formula>0.2376</formula>
      <formula>0.25</formula>
    </cfRule>
    <cfRule type="cellIs" dxfId="6748" priority="5125" stopIfTrue="1" operator="between">
      <formula>0</formula>
      <formula>0.125</formula>
    </cfRule>
  </conditionalFormatting>
  <conditionalFormatting sqref="N361:N363 N311:N315">
    <cfRule type="cellIs" dxfId="6747" priority="5116" operator="between">
      <formula>0.1876</formula>
      <formula>0.2375</formula>
    </cfRule>
    <cfRule type="cellIs" dxfId="6746" priority="5117" operator="between">
      <formula>0.1251</formula>
      <formula>0.1875</formula>
    </cfRule>
    <cfRule type="cellIs" dxfId="6745" priority="5118" operator="greaterThan">
      <formula>0.25</formula>
    </cfRule>
    <cfRule type="cellIs" dxfId="6744" priority="5119" operator="between">
      <formula>0.2376</formula>
      <formula>0.25</formula>
    </cfRule>
    <cfRule type="cellIs" dxfId="6743" priority="5120" stopIfTrue="1" operator="between">
      <formula>0</formula>
      <formula>0.125</formula>
    </cfRule>
  </conditionalFormatting>
  <conditionalFormatting sqref="O312:O315 O361:O363">
    <cfRule type="cellIs" dxfId="6742" priority="5111" operator="between">
      <formula>0.1876</formula>
      <formula>0.2375</formula>
    </cfRule>
    <cfRule type="cellIs" dxfId="6741" priority="5112" operator="between">
      <formula>0.1251</formula>
      <formula>0.1875</formula>
    </cfRule>
    <cfRule type="cellIs" dxfId="6740" priority="5113" operator="greaterThan">
      <formula>0.25</formula>
    </cfRule>
    <cfRule type="cellIs" dxfId="6739" priority="5114" operator="between">
      <formula>0.2375</formula>
      <formula>0.25</formula>
    </cfRule>
    <cfRule type="cellIs" dxfId="6738" priority="5115" stopIfTrue="1" operator="between">
      <formula>0</formula>
      <formula>0.125</formula>
    </cfRule>
  </conditionalFormatting>
  <conditionalFormatting sqref="L312:L315 L361:L363">
    <cfRule type="cellIs" dxfId="6737" priority="5106" operator="between">
      <formula>0.76</formula>
      <formula>0.95</formula>
    </cfRule>
    <cfRule type="cellIs" dxfId="6736" priority="5107" operator="between">
      <formula>0.51</formula>
      <formula>0.75</formula>
    </cfRule>
    <cfRule type="cellIs" dxfId="6735" priority="5108" operator="greaterThan">
      <formula>1</formula>
    </cfRule>
    <cfRule type="cellIs" dxfId="6734" priority="5109" operator="between">
      <formula>0.96</formula>
      <formula>1</formula>
    </cfRule>
    <cfRule type="cellIs" dxfId="6733" priority="5110" stopIfTrue="1" operator="between">
      <formula>0</formula>
      <formula>0.5</formula>
    </cfRule>
  </conditionalFormatting>
  <conditionalFormatting sqref="K361:K363 K311:K315">
    <cfRule type="cellIs" dxfId="6732" priority="5101" operator="between">
      <formula>0.76</formula>
      <formula>0.95</formula>
    </cfRule>
    <cfRule type="cellIs" dxfId="6731" priority="5102" operator="between">
      <formula>0.51</formula>
      <formula>0.75</formula>
    </cfRule>
    <cfRule type="cellIs" dxfId="6730" priority="5103" operator="greaterThan">
      <formula>1</formula>
    </cfRule>
    <cfRule type="cellIs" dxfId="6729" priority="5104" operator="between">
      <formula>0.96</formula>
      <formula>1</formula>
    </cfRule>
    <cfRule type="cellIs" dxfId="6728" priority="5105" stopIfTrue="1" operator="between">
      <formula>0</formula>
      <formula>0.5</formula>
    </cfRule>
  </conditionalFormatting>
  <conditionalFormatting sqref="N364:O364">
    <cfRule type="cellIs" dxfId="6727" priority="5096" operator="between">
      <formula>0.1876</formula>
      <formula>0.2375</formula>
    </cfRule>
    <cfRule type="cellIs" dxfId="6726" priority="5097" operator="between">
      <formula>0.1251</formula>
      <formula>0.1875</formula>
    </cfRule>
    <cfRule type="cellIs" dxfId="6725" priority="5098" operator="greaterThan">
      <formula>0.25</formula>
    </cfRule>
    <cfRule type="cellIs" dxfId="6724" priority="5099" operator="between">
      <formula>0.2376</formula>
      <formula>0.25</formula>
    </cfRule>
    <cfRule type="cellIs" dxfId="6723" priority="5100" stopIfTrue="1" operator="between">
      <formula>0</formula>
      <formula>0.25</formula>
    </cfRule>
  </conditionalFormatting>
  <conditionalFormatting sqref="L366:L367">
    <cfRule type="cellIs" dxfId="6722" priority="5091" operator="between">
      <formula>0.76</formula>
      <formula>0.95</formula>
    </cfRule>
    <cfRule type="cellIs" dxfId="6721" priority="5092" operator="between">
      <formula>0.51</formula>
      <formula>0.75</formula>
    </cfRule>
    <cfRule type="cellIs" dxfId="6720" priority="5093" operator="greaterThan">
      <formula>1</formula>
    </cfRule>
    <cfRule type="cellIs" dxfId="6719" priority="5094" operator="between">
      <formula>0.96</formula>
      <formula>1</formula>
    </cfRule>
    <cfRule type="cellIs" dxfId="6718" priority="5095" stopIfTrue="1" operator="between">
      <formula>0</formula>
      <formula>0.5</formula>
    </cfRule>
  </conditionalFormatting>
  <conditionalFormatting sqref="K365:K367">
    <cfRule type="cellIs" dxfId="6717" priority="5086" operator="between">
      <formula>0.7505</formula>
      <formula>0.95</formula>
    </cfRule>
    <cfRule type="cellIs" dxfId="6716" priority="5087" operator="between">
      <formula>0.51</formula>
      <formula>0.75</formula>
    </cfRule>
    <cfRule type="cellIs" dxfId="6715" priority="5088" operator="greaterThan">
      <formula>1</formula>
    </cfRule>
    <cfRule type="cellIs" dxfId="6714" priority="5089" operator="between">
      <formula>0.96</formula>
      <formula>1</formula>
    </cfRule>
    <cfRule type="cellIs" dxfId="6713" priority="5090" stopIfTrue="1" operator="between">
      <formula>0</formula>
      <formula>0.5</formula>
    </cfRule>
  </conditionalFormatting>
  <conditionalFormatting sqref="M365:M367">
    <cfRule type="cellIs" dxfId="6712" priority="5081" operator="between">
      <formula>0.1876</formula>
      <formula>0.2375</formula>
    </cfRule>
    <cfRule type="cellIs" dxfId="6711" priority="5082" operator="between">
      <formula>0.1251</formula>
      <formula>0.1875</formula>
    </cfRule>
    <cfRule type="cellIs" dxfId="6710" priority="5083" operator="greaterThan">
      <formula>0.25</formula>
    </cfRule>
    <cfRule type="cellIs" dxfId="6709" priority="5084" operator="between">
      <formula>0.2376</formula>
      <formula>0.25</formula>
    </cfRule>
    <cfRule type="cellIs" dxfId="6708" priority="5085" stopIfTrue="1" operator="between">
      <formula>0</formula>
      <formula>0.25</formula>
    </cfRule>
  </conditionalFormatting>
  <conditionalFormatting sqref="N365:O365">
    <cfRule type="cellIs" dxfId="6707" priority="5076" operator="between">
      <formula>0.1876</formula>
      <formula>0.2375</formula>
    </cfRule>
    <cfRule type="cellIs" dxfId="6706" priority="5077" operator="between">
      <formula>0.1251</formula>
      <formula>0.1875</formula>
    </cfRule>
    <cfRule type="cellIs" dxfId="6705" priority="5078" operator="greaterThan">
      <formula>0.25</formula>
    </cfRule>
    <cfRule type="cellIs" dxfId="6704" priority="5079" operator="between">
      <formula>0.2376</formula>
      <formula>0.25</formula>
    </cfRule>
    <cfRule type="cellIs" dxfId="6703" priority="5080" stopIfTrue="1" operator="between">
      <formula>0</formula>
      <formula>0.25</formula>
    </cfRule>
  </conditionalFormatting>
  <conditionalFormatting sqref="L311">
    <cfRule type="cellIs" dxfId="6702" priority="5051" operator="between">
      <formula>0.76</formula>
      <formula>0.95</formula>
    </cfRule>
    <cfRule type="cellIs" dxfId="6701" priority="5052" operator="between">
      <formula>0.51</formula>
      <formula>0.75</formula>
    </cfRule>
    <cfRule type="cellIs" dxfId="6700" priority="5053" operator="greaterThan">
      <formula>1</formula>
    </cfRule>
    <cfRule type="cellIs" dxfId="6699" priority="5054" operator="between">
      <formula>0.96</formula>
      <formula>1</formula>
    </cfRule>
    <cfRule type="cellIs" dxfId="6698" priority="5055" stopIfTrue="1" operator="between">
      <formula>0</formula>
      <formula>0.5</formula>
    </cfRule>
  </conditionalFormatting>
  <conditionalFormatting sqref="O311">
    <cfRule type="cellIs" dxfId="6697" priority="5046" operator="between">
      <formula>0.1876</formula>
      <formula>0.2375</formula>
    </cfRule>
    <cfRule type="cellIs" dxfId="6696" priority="5047" operator="between">
      <formula>0.1251</formula>
      <formula>0.1875</formula>
    </cfRule>
    <cfRule type="cellIs" dxfId="6695" priority="5048" operator="greaterThan">
      <formula>0.25</formula>
    </cfRule>
    <cfRule type="cellIs" dxfId="6694" priority="5049" operator="between">
      <formula>0.2375</formula>
      <formula>0.25</formula>
    </cfRule>
    <cfRule type="cellIs" dxfId="6693" priority="5050" stopIfTrue="1" operator="between">
      <formula>0</formula>
      <formula>0.125</formula>
    </cfRule>
  </conditionalFormatting>
  <conditionalFormatting sqref="K285:L285">
    <cfRule type="cellIs" dxfId="6692" priority="5041" operator="between">
      <formula>0.76</formula>
      <formula>0.95</formula>
    </cfRule>
    <cfRule type="cellIs" dxfId="6691" priority="5042" operator="between">
      <formula>0.51</formula>
      <formula>0.75</formula>
    </cfRule>
    <cfRule type="cellIs" dxfId="6690" priority="5043" operator="greaterThan">
      <formula>1</formula>
    </cfRule>
    <cfRule type="cellIs" dxfId="6689" priority="5044" operator="between">
      <formula>0.96</formula>
      <formula>1</formula>
    </cfRule>
    <cfRule type="cellIs" dxfId="6688" priority="5045" stopIfTrue="1" operator="between">
      <formula>0</formula>
      <formula>0.5</formula>
    </cfRule>
  </conditionalFormatting>
  <conditionalFormatting sqref="O285">
    <cfRule type="cellIs" dxfId="6687" priority="5036" operator="between">
      <formula>0.1876</formula>
      <formula>0.2375</formula>
    </cfRule>
    <cfRule type="cellIs" dxfId="6686" priority="5037" operator="between">
      <formula>0.1251</formula>
      <formula>0.1875</formula>
    </cfRule>
    <cfRule type="cellIs" dxfId="6685" priority="5038" operator="greaterThan">
      <formula>0.25</formula>
    </cfRule>
    <cfRule type="cellIs" dxfId="6684" priority="5039" operator="between">
      <formula>0.2375</formula>
      <formula>0.25</formula>
    </cfRule>
    <cfRule type="cellIs" dxfId="6683" priority="5040" stopIfTrue="1" operator="between">
      <formula>0</formula>
      <formula>0.125</formula>
    </cfRule>
  </conditionalFormatting>
  <conditionalFormatting sqref="M285:N285">
    <cfRule type="cellIs" dxfId="6682" priority="5031" operator="between">
      <formula>0.1876</formula>
      <formula>0.2375</formula>
    </cfRule>
    <cfRule type="cellIs" dxfId="6681" priority="5032" operator="between">
      <formula>0.1251</formula>
      <formula>0.1875</formula>
    </cfRule>
    <cfRule type="cellIs" dxfId="6680" priority="5033" operator="greaterThan">
      <formula>0.25</formula>
    </cfRule>
    <cfRule type="cellIs" dxfId="6679" priority="5034" operator="between">
      <formula>0.2376</formula>
      <formula>0.25</formula>
    </cfRule>
    <cfRule type="cellIs" dxfId="6678" priority="5035" stopIfTrue="1" operator="between">
      <formula>0</formula>
      <formula>0.125</formula>
    </cfRule>
  </conditionalFormatting>
  <conditionalFormatting sqref="Y285 AF285 R285 AH285:AI285">
    <cfRule type="cellIs" dxfId="6677" priority="5026" operator="between">
      <formula>0.76</formula>
      <formula>0.95</formula>
    </cfRule>
    <cfRule type="cellIs" dxfId="6676" priority="5027" operator="between">
      <formula>0.51</formula>
      <formula>0.75</formula>
    </cfRule>
    <cfRule type="cellIs" dxfId="6675" priority="5028" operator="greaterThan">
      <formula>1</formula>
    </cfRule>
    <cfRule type="cellIs" dxfId="6674" priority="5029" operator="between">
      <formula>0.95</formula>
      <formula>1</formula>
    </cfRule>
    <cfRule type="cellIs" dxfId="6673" priority="5030" stopIfTrue="1" operator="between">
      <formula>0</formula>
      <formula>0.5</formula>
    </cfRule>
  </conditionalFormatting>
  <conditionalFormatting sqref="T285">
    <cfRule type="cellIs" dxfId="6672" priority="5021" operator="between">
      <formula>0.3751</formula>
      <formula>0.475</formula>
    </cfRule>
    <cfRule type="cellIs" dxfId="6671" priority="5022" operator="between">
      <formula>0.2551</formula>
      <formula>0.375</formula>
    </cfRule>
    <cfRule type="cellIs" dxfId="6670" priority="5023" operator="greaterThan">
      <formula>0.505</formula>
    </cfRule>
    <cfRule type="cellIs" dxfId="6669" priority="5024" operator="between">
      <formula>0.48</formula>
      <formula>0.5</formula>
    </cfRule>
    <cfRule type="cellIs" dxfId="6668" priority="5025" stopIfTrue="1" operator="between">
      <formula>0</formula>
      <formula>0.255</formula>
    </cfRule>
  </conditionalFormatting>
  <conditionalFormatting sqref="AA285:AB285">
    <cfRule type="cellIs" dxfId="6667" priority="5016" operator="between">
      <formula>0.56251</formula>
      <formula>0.7125</formula>
    </cfRule>
    <cfRule type="cellIs" dxfId="6666" priority="5017" operator="between">
      <formula>0.3751</formula>
      <formula>0.5625</formula>
    </cfRule>
    <cfRule type="cellIs" dxfId="6665" priority="5018" operator="greaterThan">
      <formula>0.751</formula>
    </cfRule>
    <cfRule type="cellIs" dxfId="6664" priority="5019" operator="between">
      <formula>0.71251</formula>
      <formula>0.75</formula>
    </cfRule>
    <cfRule type="cellIs" dxfId="6663" priority="5020" stopIfTrue="1" operator="between">
      <formula>0</formula>
      <formula>0.375</formula>
    </cfRule>
  </conditionalFormatting>
  <conditionalFormatting sqref="U285">
    <cfRule type="cellIs" dxfId="6662" priority="5011" operator="between">
      <formula>0.376</formula>
      <formula>0.475</formula>
    </cfRule>
    <cfRule type="cellIs" dxfId="6661" priority="5012" operator="between">
      <formula>0.2551</formula>
      <formula>0.3751</formula>
    </cfRule>
    <cfRule type="cellIs" dxfId="6660" priority="5013" operator="greaterThan">
      <formula>0.505</formula>
    </cfRule>
    <cfRule type="cellIs" dxfId="6659" priority="5014" operator="between">
      <formula>0.48</formula>
      <formula>0.5</formula>
    </cfRule>
    <cfRule type="cellIs" dxfId="6658" priority="5015" stopIfTrue="1" operator="between">
      <formula>0</formula>
      <formula>0.255</formula>
    </cfRule>
  </conditionalFormatting>
  <conditionalFormatting sqref="S285">
    <cfRule type="cellIs" dxfId="6657" priority="4996" operator="between">
      <formula>0.76</formula>
      <formula>0.95</formula>
    </cfRule>
    <cfRule type="cellIs" dxfId="6656" priority="4997" operator="between">
      <formula>0.51</formula>
      <formula>0.75</formula>
    </cfRule>
    <cfRule type="cellIs" dxfId="6655" priority="4998" operator="greaterThan">
      <formula>1</formula>
    </cfRule>
    <cfRule type="cellIs" dxfId="6654" priority="4999" operator="between">
      <formula>0.95</formula>
      <formula>1</formula>
    </cfRule>
    <cfRule type="cellIs" dxfId="6653" priority="5000" stopIfTrue="1" operator="between">
      <formula>0</formula>
      <formula>0.5</formula>
    </cfRule>
  </conditionalFormatting>
  <conditionalFormatting sqref="Z285">
    <cfRule type="cellIs" dxfId="6652" priority="4991" operator="between">
      <formula>0.76</formula>
      <formula>0.95</formula>
    </cfRule>
    <cfRule type="cellIs" dxfId="6651" priority="4992" operator="between">
      <formula>0.51</formula>
      <formula>0.75</formula>
    </cfRule>
    <cfRule type="cellIs" dxfId="6650" priority="4993" operator="greaterThan">
      <formula>1</formula>
    </cfRule>
    <cfRule type="cellIs" dxfId="6649" priority="4994" operator="between">
      <formula>0.95</formula>
      <formula>1</formula>
    </cfRule>
    <cfRule type="cellIs" dxfId="6648" priority="4995" stopIfTrue="1" operator="between">
      <formula>0</formula>
      <formula>0.5</formula>
    </cfRule>
  </conditionalFormatting>
  <conditionalFormatting sqref="AG285">
    <cfRule type="cellIs" dxfId="6647" priority="4986" operator="between">
      <formula>0.76</formula>
      <formula>0.95</formula>
    </cfRule>
    <cfRule type="cellIs" dxfId="6646" priority="4987" operator="between">
      <formula>0.51</formula>
      <formula>0.75</formula>
    </cfRule>
    <cfRule type="cellIs" dxfId="6645" priority="4988" operator="greaterThan">
      <formula>1</formula>
    </cfRule>
    <cfRule type="cellIs" dxfId="6644" priority="4989" operator="between">
      <formula>0.95</formula>
      <formula>1</formula>
    </cfRule>
    <cfRule type="cellIs" dxfId="6643" priority="4990" stopIfTrue="1" operator="between">
      <formula>0</formula>
      <formula>0.5</formula>
    </cfRule>
  </conditionalFormatting>
  <conditionalFormatting sqref="K195:L195">
    <cfRule type="cellIs" dxfId="6642" priority="4969" operator="between">
      <formula>0.76</formula>
      <formula>0.95</formula>
    </cfRule>
    <cfRule type="cellIs" dxfId="6641" priority="4970" operator="between">
      <formula>0.51</formula>
      <formula>0.75</formula>
    </cfRule>
    <cfRule type="cellIs" dxfId="6640" priority="4971" operator="greaterThan">
      <formula>1</formula>
    </cfRule>
    <cfRule type="cellIs" dxfId="6639" priority="4972" operator="between">
      <formula>0.96</formula>
      <formula>1</formula>
    </cfRule>
    <cfRule type="cellIs" dxfId="6638" priority="4973" stopIfTrue="1" operator="between">
      <formula>0</formula>
      <formula>0.5</formula>
    </cfRule>
  </conditionalFormatting>
  <conditionalFormatting sqref="R195 Y195 AF195 AH195:AI195">
    <cfRule type="cellIs" dxfId="6637" priority="4964" operator="between">
      <formula>0.76</formula>
      <formula>0.95</formula>
    </cfRule>
    <cfRule type="cellIs" dxfId="6636" priority="4965" operator="between">
      <formula>0.51</formula>
      <formula>0.75</formula>
    </cfRule>
    <cfRule type="cellIs" dxfId="6635" priority="4966" operator="greaterThan">
      <formula>1</formula>
    </cfRule>
    <cfRule type="cellIs" dxfId="6634" priority="4967" operator="between">
      <formula>0.95</formula>
      <formula>1</formula>
    </cfRule>
    <cfRule type="cellIs" dxfId="6633" priority="4968" stopIfTrue="1" operator="between">
      <formula>0</formula>
      <formula>0.5</formula>
    </cfRule>
  </conditionalFormatting>
  <conditionalFormatting sqref="T195">
    <cfRule type="cellIs" dxfId="6632" priority="4959" operator="between">
      <formula>0.3751</formula>
      <formula>0.475</formula>
    </cfRule>
    <cfRule type="cellIs" dxfId="6631" priority="4960" operator="between">
      <formula>0.2551</formula>
      <formula>0.375</formula>
    </cfRule>
    <cfRule type="cellIs" dxfId="6630" priority="4961" operator="greaterThan">
      <formula>0.505</formula>
    </cfRule>
    <cfRule type="cellIs" dxfId="6629" priority="4962" operator="between">
      <formula>0.48</formula>
      <formula>0.5</formula>
    </cfRule>
    <cfRule type="cellIs" dxfId="6628" priority="4963" stopIfTrue="1" operator="between">
      <formula>0</formula>
      <formula>0.255</formula>
    </cfRule>
  </conditionalFormatting>
  <conditionalFormatting sqref="AA195:AB195">
    <cfRule type="cellIs" dxfId="6627" priority="4954" operator="between">
      <formula>0.56251</formula>
      <formula>0.7125</formula>
    </cfRule>
    <cfRule type="cellIs" dxfId="6626" priority="4955" operator="between">
      <formula>0.3751</formula>
      <formula>0.5625</formula>
    </cfRule>
    <cfRule type="cellIs" dxfId="6625" priority="4956" operator="greaterThan">
      <formula>0.751</formula>
    </cfRule>
    <cfRule type="cellIs" dxfId="6624" priority="4957" operator="between">
      <formula>0.71251</formula>
      <formula>0.75</formula>
    </cfRule>
    <cfRule type="cellIs" dxfId="6623" priority="4958" stopIfTrue="1" operator="between">
      <formula>0</formula>
      <formula>0.375</formula>
    </cfRule>
  </conditionalFormatting>
  <conditionalFormatting sqref="U195">
    <cfRule type="cellIs" dxfId="6622" priority="4949" operator="between">
      <formula>0.376</formula>
      <formula>0.475</formula>
    </cfRule>
    <cfRule type="cellIs" dxfId="6621" priority="4950" operator="between">
      <formula>0.2551</formula>
      <formula>0.3751</formula>
    </cfRule>
    <cfRule type="cellIs" dxfId="6620" priority="4951" operator="greaterThan">
      <formula>0.505</formula>
    </cfRule>
    <cfRule type="cellIs" dxfId="6619" priority="4952" operator="between">
      <formula>0.48</formula>
      <formula>0.5</formula>
    </cfRule>
    <cfRule type="cellIs" dxfId="6618" priority="4953" stopIfTrue="1" operator="between">
      <formula>0</formula>
      <formula>0.255</formula>
    </cfRule>
  </conditionalFormatting>
  <conditionalFormatting sqref="AG195">
    <cfRule type="cellIs" dxfId="6617" priority="4941" operator="between">
      <formula>0.76</formula>
      <formula>0.95</formula>
    </cfRule>
    <cfRule type="cellIs" dxfId="6616" priority="4942" operator="between">
      <formula>0.51</formula>
      <formula>0.75</formula>
    </cfRule>
    <cfRule type="cellIs" dxfId="6615" priority="4943" operator="greaterThan">
      <formula>1</formula>
    </cfRule>
    <cfRule type="cellIs" dxfId="6614" priority="4944" operator="between">
      <formula>0.95</formula>
      <formula>1</formula>
    </cfRule>
    <cfRule type="cellIs" dxfId="6613" priority="4945" stopIfTrue="1" operator="between">
      <formula>0</formula>
      <formula>0.5</formula>
    </cfRule>
  </conditionalFormatting>
  <conditionalFormatting sqref="Z195">
    <cfRule type="cellIs" dxfId="6612" priority="4936" operator="between">
      <formula>0.76</formula>
      <formula>0.95</formula>
    </cfRule>
    <cfRule type="cellIs" dxfId="6611" priority="4937" operator="between">
      <formula>0.51</formula>
      <formula>0.75</formula>
    </cfRule>
    <cfRule type="cellIs" dxfId="6610" priority="4938" operator="greaterThan">
      <formula>1</formula>
    </cfRule>
    <cfRule type="cellIs" dxfId="6609" priority="4939" operator="between">
      <formula>0.95</formula>
      <formula>1</formula>
    </cfRule>
    <cfRule type="cellIs" dxfId="6608" priority="4940" stopIfTrue="1" operator="between">
      <formula>0</formula>
      <formula>0.5</formula>
    </cfRule>
  </conditionalFormatting>
  <conditionalFormatting sqref="AC195">
    <cfRule type="cellIs" dxfId="6607" priority="4931" operator="between">
      <formula>0.56251</formula>
      <formula>0.7125</formula>
    </cfRule>
    <cfRule type="cellIs" dxfId="6606" priority="4932" operator="between">
      <formula>0.3751</formula>
      <formula>0.5625</formula>
    </cfRule>
    <cfRule type="cellIs" dxfId="6605" priority="4933" operator="greaterThan">
      <formula>0.751</formula>
    </cfRule>
    <cfRule type="cellIs" dxfId="6604" priority="4934" operator="between">
      <formula>0.71251</formula>
      <formula>0.75</formula>
    </cfRule>
    <cfRule type="cellIs" dxfId="6603" priority="4935" stopIfTrue="1" operator="between">
      <formula>0</formula>
      <formula>0.375</formula>
    </cfRule>
  </conditionalFormatting>
  <conditionalFormatting sqref="S195">
    <cfRule type="cellIs" dxfId="6602" priority="4926" operator="between">
      <formula>0.76</formula>
      <formula>0.95</formula>
    </cfRule>
    <cfRule type="cellIs" dxfId="6601" priority="4927" operator="between">
      <formula>0.51</formula>
      <formula>0.75</formula>
    </cfRule>
    <cfRule type="cellIs" dxfId="6600" priority="4928" operator="greaterThan">
      <formula>1</formula>
    </cfRule>
    <cfRule type="cellIs" dxfId="6599" priority="4929" operator="between">
      <formula>0.95</formula>
      <formula>1</formula>
    </cfRule>
    <cfRule type="cellIs" dxfId="6598" priority="4930" stopIfTrue="1" operator="between">
      <formula>0</formula>
      <formula>0.5</formula>
    </cfRule>
  </conditionalFormatting>
  <conditionalFormatting sqref="V195">
    <cfRule type="cellIs" dxfId="6597" priority="4921" operator="between">
      <formula>0.376</formula>
      <formula>0.475</formula>
    </cfRule>
    <cfRule type="cellIs" dxfId="6596" priority="4922" operator="between">
      <formula>0.2551</formula>
      <formula>0.3751</formula>
    </cfRule>
    <cfRule type="cellIs" dxfId="6595" priority="4923" operator="greaterThan">
      <formula>0.505</formula>
    </cfRule>
    <cfRule type="cellIs" dxfId="6594" priority="4924" operator="between">
      <formula>0.48</formula>
      <formula>0.5</formula>
    </cfRule>
    <cfRule type="cellIs" dxfId="6593" priority="4925" stopIfTrue="1" operator="between">
      <formula>0</formula>
      <formula>0.255</formula>
    </cfRule>
  </conditionalFormatting>
  <conditionalFormatting sqref="M195">
    <cfRule type="cellIs" dxfId="6592" priority="4916" operator="between">
      <formula>0.1876</formula>
      <formula>0.2375</formula>
    </cfRule>
    <cfRule type="cellIs" dxfId="6591" priority="4917" operator="between">
      <formula>0.1251</formula>
      <formula>0.1875</formula>
    </cfRule>
    <cfRule type="cellIs" dxfId="6590" priority="4918" operator="greaterThan">
      <formula>0.25</formula>
    </cfRule>
    <cfRule type="cellIs" dxfId="6589" priority="4919" operator="between">
      <formula>0.2376</formula>
      <formula>0.25</formula>
    </cfRule>
    <cfRule type="cellIs" dxfId="6588" priority="4920" stopIfTrue="1" operator="between">
      <formula>0</formula>
      <formula>0.125</formula>
    </cfRule>
  </conditionalFormatting>
  <conditionalFormatting sqref="N195">
    <cfRule type="cellIs" dxfId="6587" priority="4911" operator="between">
      <formula>0.1876</formula>
      <formula>0.2375</formula>
    </cfRule>
    <cfRule type="cellIs" dxfId="6586" priority="4912" operator="between">
      <formula>0.1251</formula>
      <formula>0.1875</formula>
    </cfRule>
    <cfRule type="cellIs" dxfId="6585" priority="4913" operator="greaterThan">
      <formula>0.25</formula>
    </cfRule>
    <cfRule type="cellIs" dxfId="6584" priority="4914" operator="between">
      <formula>0.2376</formula>
      <formula>0.25</formula>
    </cfRule>
    <cfRule type="cellIs" dxfId="6583" priority="4915" stopIfTrue="1" operator="between">
      <formula>0</formula>
      <formula>0.125</formula>
    </cfRule>
  </conditionalFormatting>
  <conditionalFormatting sqref="O195">
    <cfRule type="cellIs" dxfId="6582" priority="4906" operator="between">
      <formula>0.1876</formula>
      <formula>0.2375</formula>
    </cfRule>
    <cfRule type="cellIs" dxfId="6581" priority="4907" operator="between">
      <formula>0.1251</formula>
      <formula>0.1875</formula>
    </cfRule>
    <cfRule type="cellIs" dxfId="6580" priority="4908" operator="greaterThan">
      <formula>0.25</formula>
    </cfRule>
    <cfRule type="cellIs" dxfId="6579" priority="4909" operator="between">
      <formula>0.2375</formula>
      <formula>0.25</formula>
    </cfRule>
    <cfRule type="cellIs" dxfId="6578" priority="4910" stopIfTrue="1" operator="between">
      <formula>0</formula>
      <formula>0.125</formula>
    </cfRule>
  </conditionalFormatting>
  <conditionalFormatting sqref="M186">
    <cfRule type="cellIs" dxfId="6577" priority="4785" operator="between">
      <formula>0.1876</formula>
      <formula>0.2375</formula>
    </cfRule>
    <cfRule type="cellIs" dxfId="6576" priority="4786" operator="between">
      <formula>0.1251</formula>
      <formula>0.1875</formula>
    </cfRule>
    <cfRule type="cellIs" dxfId="6575" priority="4787" operator="greaterThan">
      <formula>0.25</formula>
    </cfRule>
    <cfRule type="cellIs" dxfId="6574" priority="4788" operator="between">
      <formula>0.2376</formula>
      <formula>0.25</formula>
    </cfRule>
    <cfRule type="cellIs" dxfId="6573" priority="4789" stopIfTrue="1" operator="between">
      <formula>0</formula>
      <formula>0.125</formula>
    </cfRule>
  </conditionalFormatting>
  <conditionalFormatting sqref="N186">
    <cfRule type="cellIs" dxfId="6572" priority="4780" operator="between">
      <formula>0.1876</formula>
      <formula>0.2375</formula>
    </cfRule>
    <cfRule type="cellIs" dxfId="6571" priority="4781" operator="between">
      <formula>0.1251</formula>
      <formula>0.1875</formula>
    </cfRule>
    <cfRule type="cellIs" dxfId="6570" priority="4782" operator="greaterThan">
      <formula>0.25</formula>
    </cfRule>
    <cfRule type="cellIs" dxfId="6569" priority="4783" operator="between">
      <formula>0.2376</formula>
      <formula>0.25</formula>
    </cfRule>
    <cfRule type="cellIs" dxfId="6568" priority="4784" stopIfTrue="1" operator="between">
      <formula>0</formula>
      <formula>0.125</formula>
    </cfRule>
  </conditionalFormatting>
  <conditionalFormatting sqref="O186">
    <cfRule type="cellIs" dxfId="6567" priority="4775" operator="between">
      <formula>0.1876</formula>
      <formula>0.2375</formula>
    </cfRule>
    <cfRule type="cellIs" dxfId="6566" priority="4776" operator="between">
      <formula>0.1251</formula>
      <formula>0.1875</formula>
    </cfRule>
    <cfRule type="cellIs" dxfId="6565" priority="4777" operator="greaterThan">
      <formula>0.25</formula>
    </cfRule>
    <cfRule type="cellIs" dxfId="6564" priority="4778" operator="between">
      <formula>0.2375</formula>
      <formula>0.25</formula>
    </cfRule>
    <cfRule type="cellIs" dxfId="6563" priority="4779" stopIfTrue="1" operator="between">
      <formula>0</formula>
      <formula>0.125</formula>
    </cfRule>
  </conditionalFormatting>
  <conditionalFormatting sqref="S186">
    <cfRule type="cellIs" dxfId="6562" priority="4770" operator="between">
      <formula>0.76</formula>
      <formula>0.95</formula>
    </cfRule>
    <cfRule type="cellIs" dxfId="6561" priority="4771" operator="between">
      <formula>0.51</formula>
      <formula>0.75</formula>
    </cfRule>
    <cfRule type="cellIs" dxfId="6560" priority="4772" operator="greaterThan">
      <formula>1</formula>
    </cfRule>
    <cfRule type="cellIs" dxfId="6559" priority="4773" operator="between">
      <formula>0.95</formula>
      <formula>1</formula>
    </cfRule>
    <cfRule type="cellIs" dxfId="6558" priority="4774" stopIfTrue="1" operator="between">
      <formula>0</formula>
      <formula>0.5</formula>
    </cfRule>
  </conditionalFormatting>
  <conditionalFormatting sqref="V186">
    <cfRule type="cellIs" dxfId="6557" priority="4765" operator="between">
      <formula>0.376</formula>
      <formula>0.475</formula>
    </cfRule>
    <cfRule type="cellIs" dxfId="6556" priority="4766" operator="between">
      <formula>0.2551</formula>
      <formula>0.3751</formula>
    </cfRule>
    <cfRule type="cellIs" dxfId="6555" priority="4767" operator="greaterThan">
      <formula>0.505</formula>
    </cfRule>
    <cfRule type="cellIs" dxfId="6554" priority="4768" operator="between">
      <formula>0.48</formula>
      <formula>0.5</formula>
    </cfRule>
    <cfRule type="cellIs" dxfId="6553" priority="4769" stopIfTrue="1" operator="between">
      <formula>0</formula>
      <formula>0.255</formula>
    </cfRule>
  </conditionalFormatting>
  <conditionalFormatting sqref="AG186">
    <cfRule type="cellIs" dxfId="6552" priority="4760" operator="between">
      <formula>0.76</formula>
      <formula>0.95</formula>
    </cfRule>
    <cfRule type="cellIs" dxfId="6551" priority="4761" operator="between">
      <formula>0.51</formula>
      <formula>0.75</formula>
    </cfRule>
    <cfRule type="cellIs" dxfId="6550" priority="4762" operator="greaterThan">
      <formula>1</formula>
    </cfRule>
    <cfRule type="cellIs" dxfId="6549" priority="4763" operator="between">
      <formula>0.95</formula>
      <formula>1</formula>
    </cfRule>
    <cfRule type="cellIs" dxfId="6548" priority="4764" stopIfTrue="1" operator="between">
      <formula>0</formula>
      <formula>0.5</formula>
    </cfRule>
  </conditionalFormatting>
  <conditionalFormatting sqref="K186:L186">
    <cfRule type="cellIs" dxfId="6547" priority="4838" operator="between">
      <formula>0.76</formula>
      <formula>0.95</formula>
    </cfRule>
    <cfRule type="cellIs" dxfId="6546" priority="4839" operator="between">
      <formula>0.51</formula>
      <formula>0.75</formula>
    </cfRule>
    <cfRule type="cellIs" dxfId="6545" priority="4840" operator="greaterThan">
      <formula>1</formula>
    </cfRule>
    <cfRule type="cellIs" dxfId="6544" priority="4841" operator="between">
      <formula>0.96</formula>
      <formula>1</formula>
    </cfRule>
    <cfRule type="cellIs" dxfId="6543" priority="4842" stopIfTrue="1" operator="between">
      <formula>0</formula>
      <formula>0.5</formula>
    </cfRule>
  </conditionalFormatting>
  <conditionalFormatting sqref="R186 Y186 AF186 AH186:AI186">
    <cfRule type="cellIs" dxfId="6542" priority="4833" operator="between">
      <formula>0.76</formula>
      <formula>0.95</formula>
    </cfRule>
    <cfRule type="cellIs" dxfId="6541" priority="4834" operator="between">
      <formula>0.51</formula>
      <formula>0.75</formula>
    </cfRule>
    <cfRule type="cellIs" dxfId="6540" priority="4835" operator="greaterThan">
      <formula>1</formula>
    </cfRule>
    <cfRule type="cellIs" dxfId="6539" priority="4836" operator="between">
      <formula>0.95</formula>
      <formula>1</formula>
    </cfRule>
    <cfRule type="cellIs" dxfId="6538" priority="4837" stopIfTrue="1" operator="between">
      <formula>0</formula>
      <formula>0.5</formula>
    </cfRule>
  </conditionalFormatting>
  <conditionalFormatting sqref="T186">
    <cfRule type="cellIs" dxfId="6537" priority="4828" operator="between">
      <formula>0.3751</formula>
      <formula>0.475</formula>
    </cfRule>
    <cfRule type="cellIs" dxfId="6536" priority="4829" operator="between">
      <formula>0.2551</formula>
      <formula>0.375</formula>
    </cfRule>
    <cfRule type="cellIs" dxfId="6535" priority="4830" operator="greaterThan">
      <formula>0.505</formula>
    </cfRule>
    <cfRule type="cellIs" dxfId="6534" priority="4831" operator="between">
      <formula>0.48</formula>
      <formula>0.5</formula>
    </cfRule>
    <cfRule type="cellIs" dxfId="6533" priority="4832" stopIfTrue="1" operator="between">
      <formula>0</formula>
      <formula>0.255</formula>
    </cfRule>
  </conditionalFormatting>
  <conditionalFormatting sqref="AA186:AB186">
    <cfRule type="cellIs" dxfId="6532" priority="4823" operator="between">
      <formula>0.56251</formula>
      <formula>0.7125</formula>
    </cfRule>
    <cfRule type="cellIs" dxfId="6531" priority="4824" operator="between">
      <formula>0.3751</formula>
      <formula>0.5625</formula>
    </cfRule>
    <cfRule type="cellIs" dxfId="6530" priority="4825" operator="greaterThan">
      <formula>0.751</formula>
    </cfRule>
    <cfRule type="cellIs" dxfId="6529" priority="4826" operator="between">
      <formula>0.71251</formula>
      <formula>0.75</formula>
    </cfRule>
    <cfRule type="cellIs" dxfId="6528" priority="4827" stopIfTrue="1" operator="between">
      <formula>0</formula>
      <formula>0.375</formula>
    </cfRule>
  </conditionalFormatting>
  <conditionalFormatting sqref="U186">
    <cfRule type="cellIs" dxfId="6527" priority="4818" operator="between">
      <formula>0.376</formula>
      <formula>0.475</formula>
    </cfRule>
    <cfRule type="cellIs" dxfId="6526" priority="4819" operator="between">
      <formula>0.2551</formula>
      <formula>0.3751</formula>
    </cfRule>
    <cfRule type="cellIs" dxfId="6525" priority="4820" operator="greaterThan">
      <formula>0.505</formula>
    </cfRule>
    <cfRule type="cellIs" dxfId="6524" priority="4821" operator="between">
      <formula>0.48</formula>
      <formula>0.5</formula>
    </cfRule>
    <cfRule type="cellIs" dxfId="6523" priority="4822" stopIfTrue="1" operator="between">
      <formula>0</formula>
      <formula>0.255</formula>
    </cfRule>
  </conditionalFormatting>
  <conditionalFormatting sqref="R360">
    <cfRule type="cellIs" dxfId="6522" priority="4750" operator="between">
      <formula>0.76</formula>
      <formula>0.95</formula>
    </cfRule>
    <cfRule type="cellIs" dxfId="6521" priority="4751" operator="between">
      <formula>0.51</formula>
      <formula>0.75</formula>
    </cfRule>
    <cfRule type="cellIs" dxfId="6520" priority="4752" operator="greaterThan">
      <formula>1</formula>
    </cfRule>
    <cfRule type="cellIs" dxfId="6519" priority="4753" operator="between">
      <formula>0.95</formula>
      <formula>1</formula>
    </cfRule>
    <cfRule type="cellIs" dxfId="6518" priority="4754" stopIfTrue="1" operator="between">
      <formula>0</formula>
      <formula>0.5</formula>
    </cfRule>
  </conditionalFormatting>
  <conditionalFormatting sqref="Y360">
    <cfRule type="cellIs" dxfId="6517" priority="4745" operator="between">
      <formula>0.76</formula>
      <formula>0.95</formula>
    </cfRule>
    <cfRule type="cellIs" dxfId="6516" priority="4746" operator="between">
      <formula>0.51</formula>
      <formula>0.75</formula>
    </cfRule>
    <cfRule type="cellIs" dxfId="6515" priority="4747" operator="greaterThan">
      <formula>1</formula>
    </cfRule>
    <cfRule type="cellIs" dxfId="6514" priority="4748" operator="between">
      <formula>0.95</formula>
      <formula>1</formula>
    </cfRule>
    <cfRule type="cellIs" dxfId="6513" priority="4749" stopIfTrue="1" operator="between">
      <formula>0</formula>
      <formula>0.5</formula>
    </cfRule>
  </conditionalFormatting>
  <conditionalFormatting sqref="T360">
    <cfRule type="cellIs" dxfId="6512" priority="4730" operator="between">
      <formula>0.3751</formula>
      <formula>0.475</formula>
    </cfRule>
    <cfRule type="cellIs" dxfId="6511" priority="4731" operator="between">
      <formula>0.2551</formula>
      <formula>0.375</formula>
    </cfRule>
    <cfRule type="cellIs" dxfId="6510" priority="4732" operator="greaterThan">
      <formula>0.505</formula>
    </cfRule>
    <cfRule type="cellIs" dxfId="6509" priority="4733" operator="between">
      <formula>0.48</formula>
      <formula>0.5</formula>
    </cfRule>
    <cfRule type="cellIs" dxfId="6508" priority="4734" stopIfTrue="1" operator="between">
      <formula>0</formula>
      <formula>0.255</formula>
    </cfRule>
  </conditionalFormatting>
  <conditionalFormatting sqref="U360">
    <cfRule type="cellIs" dxfId="6507" priority="4725" operator="between">
      <formula>0.376</formula>
      <formula>0.475</formula>
    </cfRule>
    <cfRule type="cellIs" dxfId="6506" priority="4726" operator="between">
      <formula>0.2551</formula>
      <formula>0.3751</formula>
    </cfRule>
    <cfRule type="cellIs" dxfId="6505" priority="4727" operator="greaterThan">
      <formula>0.505</formula>
    </cfRule>
    <cfRule type="cellIs" dxfId="6504" priority="4728" operator="between">
      <formula>0.48</formula>
      <formula>0.5</formula>
    </cfRule>
    <cfRule type="cellIs" dxfId="6503" priority="4729" stopIfTrue="1" operator="between">
      <formula>0</formula>
      <formula>0.255</formula>
    </cfRule>
  </conditionalFormatting>
  <conditionalFormatting sqref="AA360">
    <cfRule type="cellIs" dxfId="6502" priority="4720" operator="between">
      <formula>0.56251</formula>
      <formula>0.7125</formula>
    </cfRule>
    <cfRule type="cellIs" dxfId="6501" priority="4721" operator="between">
      <formula>0.3751</formula>
      <formula>0.5625</formula>
    </cfRule>
    <cfRule type="cellIs" dxfId="6500" priority="4722" operator="greaterThan">
      <formula>0.751</formula>
    </cfRule>
    <cfRule type="cellIs" dxfId="6499" priority="4723" operator="between">
      <formula>0.71251</formula>
      <formula>0.75</formula>
    </cfRule>
    <cfRule type="cellIs" dxfId="6498" priority="4724" stopIfTrue="1" operator="between">
      <formula>0</formula>
      <formula>0.375</formula>
    </cfRule>
  </conditionalFormatting>
  <conditionalFormatting sqref="AB360">
    <cfRule type="cellIs" dxfId="6497" priority="4715" operator="between">
      <formula>0.56251</formula>
      <formula>0.7125</formula>
    </cfRule>
    <cfRule type="cellIs" dxfId="6496" priority="4716" operator="between">
      <formula>0.3751</formula>
      <formula>0.5625</formula>
    </cfRule>
    <cfRule type="cellIs" dxfId="6495" priority="4717" operator="greaterThan">
      <formula>0.751</formula>
    </cfRule>
    <cfRule type="cellIs" dxfId="6494" priority="4718" operator="between">
      <formula>0.71251</formula>
      <formula>0.75</formula>
    </cfRule>
    <cfRule type="cellIs" dxfId="6493" priority="4719" stopIfTrue="1" operator="between">
      <formula>0</formula>
      <formula>0.375</formula>
    </cfRule>
  </conditionalFormatting>
  <conditionalFormatting sqref="S360">
    <cfRule type="cellIs" dxfId="6492" priority="4705" operator="between">
      <formula>0.76</formula>
      <formula>0.95</formula>
    </cfRule>
    <cfRule type="cellIs" dxfId="6491" priority="4706" operator="between">
      <formula>0.51</formula>
      <formula>0.75</formula>
    </cfRule>
    <cfRule type="cellIs" dxfId="6490" priority="4707" operator="greaterThan">
      <formula>1</formula>
    </cfRule>
    <cfRule type="cellIs" dxfId="6489" priority="4708" operator="between">
      <formula>0.95</formula>
      <formula>1</formula>
    </cfRule>
    <cfRule type="cellIs" dxfId="6488" priority="4709" stopIfTrue="1" operator="between">
      <formula>0</formula>
      <formula>0.5</formula>
    </cfRule>
  </conditionalFormatting>
  <conditionalFormatting sqref="V360">
    <cfRule type="cellIs" dxfId="6487" priority="4700" operator="between">
      <formula>0.376</formula>
      <formula>0.475</formula>
    </cfRule>
    <cfRule type="cellIs" dxfId="6486" priority="4701" operator="between">
      <formula>0.2551</formula>
      <formula>0.3751</formula>
    </cfRule>
    <cfRule type="cellIs" dxfId="6485" priority="4702" operator="greaterThan">
      <formula>0.505</formula>
    </cfRule>
    <cfRule type="cellIs" dxfId="6484" priority="4703" operator="between">
      <formula>0.48</formula>
      <formula>0.5</formula>
    </cfRule>
    <cfRule type="cellIs" dxfId="6483" priority="4704" stopIfTrue="1" operator="between">
      <formula>0</formula>
      <formula>0.255</formula>
    </cfRule>
  </conditionalFormatting>
  <conditionalFormatting sqref="Z360">
    <cfRule type="cellIs" dxfId="6482" priority="4695" operator="between">
      <formula>0.76</formula>
      <formula>0.95</formula>
    </cfRule>
    <cfRule type="cellIs" dxfId="6481" priority="4696" operator="between">
      <formula>0.51</formula>
      <formula>0.75</formula>
    </cfRule>
    <cfRule type="cellIs" dxfId="6480" priority="4697" operator="greaterThan">
      <formula>1</formula>
    </cfRule>
    <cfRule type="cellIs" dxfId="6479" priority="4698" operator="between">
      <formula>0.95</formula>
      <formula>1</formula>
    </cfRule>
    <cfRule type="cellIs" dxfId="6478" priority="4699" stopIfTrue="1" operator="between">
      <formula>0</formula>
      <formula>0.5</formula>
    </cfRule>
  </conditionalFormatting>
  <conditionalFormatting sqref="AC360">
    <cfRule type="cellIs" dxfId="6477" priority="4690" operator="between">
      <formula>0.56251</formula>
      <formula>0.7125</formula>
    </cfRule>
    <cfRule type="cellIs" dxfId="6476" priority="4691" operator="between">
      <formula>0.3751</formula>
      <formula>0.5625</formula>
    </cfRule>
    <cfRule type="cellIs" dxfId="6475" priority="4692" operator="greaterThan">
      <formula>0.751</formula>
    </cfRule>
    <cfRule type="cellIs" dxfId="6474" priority="4693" operator="between">
      <formula>0.71251</formula>
      <formula>0.75</formula>
    </cfRule>
    <cfRule type="cellIs" dxfId="6473" priority="4694" stopIfTrue="1" operator="between">
      <formula>0</formula>
      <formula>0.375</formula>
    </cfRule>
  </conditionalFormatting>
  <conditionalFormatting sqref="M360">
    <cfRule type="cellIs" dxfId="6472" priority="4673" operator="between">
      <formula>0.1876</formula>
      <formula>0.2375</formula>
    </cfRule>
    <cfRule type="cellIs" dxfId="6471" priority="4674" operator="between">
      <formula>0.1251</formula>
      <formula>0.1875</formula>
    </cfRule>
    <cfRule type="cellIs" dxfId="6470" priority="4675" operator="greaterThan">
      <formula>0.25</formula>
    </cfRule>
    <cfRule type="cellIs" dxfId="6469" priority="4676" operator="between">
      <formula>0.2376</formula>
      <formula>0.25</formula>
    </cfRule>
    <cfRule type="cellIs" dxfId="6468" priority="4677" stopIfTrue="1" operator="between">
      <formula>0</formula>
      <formula>0.125</formula>
    </cfRule>
  </conditionalFormatting>
  <conditionalFormatting sqref="N360">
    <cfRule type="cellIs" dxfId="6467" priority="4668" operator="between">
      <formula>0.1876</formula>
      <formula>0.2375</formula>
    </cfRule>
    <cfRule type="cellIs" dxfId="6466" priority="4669" operator="between">
      <formula>0.1251</formula>
      <formula>0.1875</formula>
    </cfRule>
    <cfRule type="cellIs" dxfId="6465" priority="4670" operator="greaterThan">
      <formula>0.25</formula>
    </cfRule>
    <cfRule type="cellIs" dxfId="6464" priority="4671" operator="between">
      <formula>0.2376</formula>
      <formula>0.25</formula>
    </cfRule>
    <cfRule type="cellIs" dxfId="6463" priority="4672" stopIfTrue="1" operator="between">
      <formula>0</formula>
      <formula>0.125</formula>
    </cfRule>
  </conditionalFormatting>
  <conditionalFormatting sqref="O360">
    <cfRule type="cellIs" dxfId="6462" priority="4663" operator="between">
      <formula>0.1876</formula>
      <formula>0.2375</formula>
    </cfRule>
    <cfRule type="cellIs" dxfId="6461" priority="4664" operator="between">
      <formula>0.1251</formula>
      <formula>0.1875</formula>
    </cfRule>
    <cfRule type="cellIs" dxfId="6460" priority="4665" operator="greaterThan">
      <formula>0.25</formula>
    </cfRule>
    <cfRule type="cellIs" dxfId="6459" priority="4666" operator="between">
      <formula>0.2375</formula>
      <formula>0.25</formula>
    </cfRule>
    <cfRule type="cellIs" dxfId="6458" priority="4667" stopIfTrue="1" operator="between">
      <formula>0</formula>
      <formula>0.125</formula>
    </cfRule>
  </conditionalFormatting>
  <conditionalFormatting sqref="L360">
    <cfRule type="cellIs" dxfId="6457" priority="4658" operator="between">
      <formula>0.76</formula>
      <formula>0.95</formula>
    </cfRule>
    <cfRule type="cellIs" dxfId="6456" priority="4659" operator="between">
      <formula>0.51</formula>
      <formula>0.75</formula>
    </cfRule>
    <cfRule type="cellIs" dxfId="6455" priority="4660" operator="greaterThan">
      <formula>1</formula>
    </cfRule>
    <cfRule type="cellIs" dxfId="6454" priority="4661" operator="between">
      <formula>0.96</formula>
      <formula>1</formula>
    </cfRule>
    <cfRule type="cellIs" dxfId="6453" priority="4662" stopIfTrue="1" operator="between">
      <formula>0</formula>
      <formula>0.5</formula>
    </cfRule>
  </conditionalFormatting>
  <conditionalFormatting sqref="K360">
    <cfRule type="cellIs" dxfId="6452" priority="4653" operator="between">
      <formula>0.76</formula>
      <formula>0.95</formula>
    </cfRule>
    <cfRule type="cellIs" dxfId="6451" priority="4654" operator="between">
      <formula>0.51</formula>
      <formula>0.75</formula>
    </cfRule>
    <cfRule type="cellIs" dxfId="6450" priority="4655" operator="greaterThan">
      <formula>1</formula>
    </cfRule>
    <cfRule type="cellIs" dxfId="6449" priority="4656" operator="between">
      <formula>0.96</formula>
      <formula>1</formula>
    </cfRule>
    <cfRule type="cellIs" dxfId="6448" priority="4657" stopIfTrue="1" operator="between">
      <formula>0</formula>
      <formula>0.5</formula>
    </cfRule>
  </conditionalFormatting>
  <conditionalFormatting sqref="K38:L40">
    <cfRule type="cellIs" dxfId="6447" priority="4648" operator="between">
      <formula>0.76</formula>
      <formula>0.95</formula>
    </cfRule>
    <cfRule type="cellIs" dxfId="6446" priority="4649" operator="between">
      <formula>0.51</formula>
      <formula>0.75</formula>
    </cfRule>
    <cfRule type="cellIs" dxfId="6445" priority="4650" operator="greaterThan">
      <formula>1</formula>
    </cfRule>
    <cfRule type="cellIs" dxfId="6444" priority="4651" operator="between">
      <formula>0.96</formula>
      <formula>1</formula>
    </cfRule>
    <cfRule type="cellIs" dxfId="6443" priority="4652" stopIfTrue="1" operator="between">
      <formula>0</formula>
      <formula>0.5</formula>
    </cfRule>
  </conditionalFormatting>
  <conditionalFormatting sqref="M38:M40">
    <cfRule type="cellIs" dxfId="6442" priority="4643" operator="between">
      <formula>0.1876</formula>
      <formula>0.2375</formula>
    </cfRule>
    <cfRule type="cellIs" dxfId="6441" priority="4644" operator="between">
      <formula>0.1251</formula>
      <formula>0.1875</formula>
    </cfRule>
    <cfRule type="cellIs" dxfId="6440" priority="4645" operator="greaterThan">
      <formula>0.25</formula>
    </cfRule>
    <cfRule type="cellIs" dxfId="6439" priority="4646" operator="between">
      <formula>0.2375</formula>
      <formula>0.25</formula>
    </cfRule>
    <cfRule type="cellIs" dxfId="6438" priority="4647" stopIfTrue="1" operator="between">
      <formula>0</formula>
      <formula>0.125</formula>
    </cfRule>
  </conditionalFormatting>
  <conditionalFormatting sqref="N38:O40">
    <cfRule type="cellIs" dxfId="6437" priority="4638" operator="between">
      <formula>0.1876</formula>
      <formula>0.2375</formula>
    </cfRule>
    <cfRule type="cellIs" dxfId="6436" priority="4639" operator="between">
      <formula>0.1251</formula>
      <formula>0.1875</formula>
    </cfRule>
    <cfRule type="cellIs" dxfId="6435" priority="4640" operator="greaterThan">
      <formula>0.25</formula>
    </cfRule>
    <cfRule type="cellIs" dxfId="6434" priority="4641" operator="between">
      <formula>0.2376</formula>
      <formula>0.25</formula>
    </cfRule>
    <cfRule type="cellIs" dxfId="6433" priority="4642" stopIfTrue="1" operator="between">
      <formula>0</formula>
      <formula>0.125</formula>
    </cfRule>
  </conditionalFormatting>
  <conditionalFormatting sqref="Y239">
    <cfRule type="cellIs" dxfId="6432" priority="4625" operator="between">
      <formula>0.76</formula>
      <formula>0.95</formula>
    </cfRule>
    <cfRule type="cellIs" dxfId="6431" priority="4626" operator="between">
      <formula>0.51</formula>
      <formula>0.75</formula>
    </cfRule>
    <cfRule type="cellIs" dxfId="6430" priority="4627" operator="greaterThan">
      <formula>1</formula>
    </cfRule>
    <cfRule type="cellIs" dxfId="6429" priority="4628" operator="between">
      <formula>0.96</formula>
      <formula>1</formula>
    </cfRule>
    <cfRule type="cellIs" dxfId="6428" priority="4629" stopIfTrue="1" operator="between">
      <formula>0</formula>
      <formula>0.5</formula>
    </cfRule>
  </conditionalFormatting>
  <conditionalFormatting sqref="Z239">
    <cfRule type="cellIs" dxfId="6427" priority="4612" operator="between">
      <formula>0.76</formula>
      <formula>0.95</formula>
    </cfRule>
    <cfRule type="cellIs" dxfId="6426" priority="4613" operator="between">
      <formula>0.51</formula>
      <formula>0.75</formula>
    </cfRule>
    <cfRule type="cellIs" dxfId="6425" priority="4614" operator="greaterThan">
      <formula>1</formula>
    </cfRule>
    <cfRule type="cellIs" dxfId="6424" priority="4615" operator="between">
      <formula>0.95</formula>
      <formula>1</formula>
    </cfRule>
    <cfRule type="cellIs" dxfId="6423" priority="4616" stopIfTrue="1" operator="between">
      <formula>0</formula>
      <formula>0.5</formula>
    </cfRule>
  </conditionalFormatting>
  <conditionalFormatting sqref="AI239">
    <cfRule type="cellIs" dxfId="6422" priority="4589" operator="between">
      <formula>0.76</formula>
      <formula>0.95</formula>
    </cfRule>
    <cfRule type="cellIs" dxfId="6421" priority="4590" operator="between">
      <formula>0.51</formula>
      <formula>0.75</formula>
    </cfRule>
    <cfRule type="cellIs" dxfId="6420" priority="4591" operator="greaterThan">
      <formula>1</formula>
    </cfRule>
    <cfRule type="cellIs" dxfId="6419" priority="4592" operator="between">
      <formula>0.96</formula>
      <formula>1</formula>
    </cfRule>
    <cfRule type="cellIs" dxfId="6418" priority="4593" stopIfTrue="1" operator="between">
      <formula>0</formula>
      <formula>0.5</formula>
    </cfRule>
  </conditionalFormatting>
  <conditionalFormatting sqref="K178:L178">
    <cfRule type="cellIs" dxfId="6417" priority="4584" operator="between">
      <formula>0.76</formula>
      <formula>0.95</formula>
    </cfRule>
    <cfRule type="cellIs" dxfId="6416" priority="4585" operator="between">
      <formula>0.51</formula>
      <formula>0.75</formula>
    </cfRule>
    <cfRule type="cellIs" dxfId="6415" priority="4586" operator="greaterThan">
      <formula>1</formula>
    </cfRule>
    <cfRule type="cellIs" dxfId="6414" priority="4587" operator="between">
      <formula>0.96</formula>
      <formula>1</formula>
    </cfRule>
    <cfRule type="cellIs" dxfId="6413" priority="4588" stopIfTrue="1" operator="between">
      <formula>0</formula>
      <formula>0.5</formula>
    </cfRule>
  </conditionalFormatting>
  <conditionalFormatting sqref="O178">
    <cfRule type="cellIs" dxfId="6412" priority="4579" operator="between">
      <formula>0.1876</formula>
      <formula>0.2375</formula>
    </cfRule>
    <cfRule type="cellIs" dxfId="6411" priority="4580" operator="between">
      <formula>0.1251</formula>
      <formula>0.1875</formula>
    </cfRule>
    <cfRule type="cellIs" dxfId="6410" priority="4581" operator="greaterThan">
      <formula>0.25</formula>
    </cfRule>
    <cfRule type="cellIs" dxfId="6409" priority="4582" operator="between">
      <formula>0.2375</formula>
      <formula>0.25</formula>
    </cfRule>
    <cfRule type="cellIs" dxfId="6408" priority="4583" stopIfTrue="1" operator="between">
      <formula>0</formula>
      <formula>0.125</formula>
    </cfRule>
  </conditionalFormatting>
  <conditionalFormatting sqref="M178:N178">
    <cfRule type="cellIs" dxfId="6407" priority="4574" operator="between">
      <formula>0.1876</formula>
      <formula>0.2375</formula>
    </cfRule>
    <cfRule type="cellIs" dxfId="6406" priority="4575" operator="between">
      <formula>0.1251</formula>
      <formula>0.1875</formula>
    </cfRule>
    <cfRule type="cellIs" dxfId="6405" priority="4576" operator="greaterThan">
      <formula>0.25</formula>
    </cfRule>
    <cfRule type="cellIs" dxfId="6404" priority="4577" operator="between">
      <formula>0.2376</formula>
      <formula>0.25</formula>
    </cfRule>
    <cfRule type="cellIs" dxfId="6403" priority="4578" stopIfTrue="1" operator="between">
      <formula>0</formula>
      <formula>0.125</formula>
    </cfRule>
  </conditionalFormatting>
  <conditionalFormatting sqref="R178 Y178:Z178 AF178:AI178">
    <cfRule type="cellIs" dxfId="6402" priority="4569" operator="between">
      <formula>0.76</formula>
      <formula>0.95</formula>
    </cfRule>
    <cfRule type="cellIs" dxfId="6401" priority="4570" operator="between">
      <formula>0.51</formula>
      <formula>0.75</formula>
    </cfRule>
    <cfRule type="cellIs" dxfId="6400" priority="4571" operator="greaterThan">
      <formula>1</formula>
    </cfRule>
    <cfRule type="cellIs" dxfId="6399" priority="4572" operator="between">
      <formula>0.95</formula>
      <formula>1</formula>
    </cfRule>
    <cfRule type="cellIs" dxfId="6398" priority="4573" stopIfTrue="1" operator="between">
      <formula>0</formula>
      <formula>0.5</formula>
    </cfRule>
  </conditionalFormatting>
  <conditionalFormatting sqref="T178">
    <cfRule type="cellIs" dxfId="6397" priority="4564" operator="between">
      <formula>0.3751</formula>
      <formula>0.475</formula>
    </cfRule>
    <cfRule type="cellIs" dxfId="6396" priority="4565" operator="between">
      <formula>0.2551</formula>
      <formula>0.375</formula>
    </cfRule>
    <cfRule type="cellIs" dxfId="6395" priority="4566" operator="greaterThan">
      <formula>0.505</formula>
    </cfRule>
    <cfRule type="cellIs" dxfId="6394" priority="4567" operator="between">
      <formula>0.48</formula>
      <formula>0.5</formula>
    </cfRule>
    <cfRule type="cellIs" dxfId="6393" priority="4568" stopIfTrue="1" operator="between">
      <formula>0</formula>
      <formula>0.255</formula>
    </cfRule>
  </conditionalFormatting>
  <conditionalFormatting sqref="AA178:AC178">
    <cfRule type="cellIs" dxfId="6392" priority="4559" operator="between">
      <formula>0.56251</formula>
      <formula>0.7125</formula>
    </cfRule>
    <cfRule type="cellIs" dxfId="6391" priority="4560" operator="between">
      <formula>0.3751</formula>
      <formula>0.5625</formula>
    </cfRule>
    <cfRule type="cellIs" dxfId="6390" priority="4561" operator="greaterThan">
      <formula>0.751</formula>
    </cfRule>
    <cfRule type="cellIs" dxfId="6389" priority="4562" operator="between">
      <formula>0.71251</formula>
      <formula>0.75</formula>
    </cfRule>
    <cfRule type="cellIs" dxfId="6388" priority="4563" stopIfTrue="1" operator="between">
      <formula>0</formula>
      <formula>0.375</formula>
    </cfRule>
  </conditionalFormatting>
  <conditionalFormatting sqref="U178">
    <cfRule type="cellIs" dxfId="6387" priority="4554" operator="between">
      <formula>0.376</formula>
      <formula>0.475</formula>
    </cfRule>
    <cfRule type="cellIs" dxfId="6386" priority="4555" operator="between">
      <formula>0.2551</formula>
      <formula>0.3751</formula>
    </cfRule>
    <cfRule type="cellIs" dxfId="6385" priority="4556" operator="greaterThan">
      <formula>0.505</formula>
    </cfRule>
    <cfRule type="cellIs" dxfId="6384" priority="4557" operator="between">
      <formula>0.48</formula>
      <formula>0.5</formula>
    </cfRule>
    <cfRule type="cellIs" dxfId="6383" priority="4558" stopIfTrue="1" operator="between">
      <formula>0</formula>
      <formula>0.255</formula>
    </cfRule>
  </conditionalFormatting>
  <conditionalFormatting sqref="V178">
    <cfRule type="cellIs" dxfId="6382" priority="4549" operator="between">
      <formula>0.376</formula>
      <formula>0.475</formula>
    </cfRule>
    <cfRule type="cellIs" dxfId="6381" priority="4550" operator="between">
      <formula>0.2551</formula>
      <formula>0.3751</formula>
    </cfRule>
    <cfRule type="cellIs" dxfId="6380" priority="4551" operator="greaterThan">
      <formula>0.505</formula>
    </cfRule>
    <cfRule type="cellIs" dxfId="6379" priority="4552" operator="between">
      <formula>0.48</formula>
      <formula>0.5</formula>
    </cfRule>
    <cfRule type="cellIs" dxfId="6378" priority="4553" stopIfTrue="1" operator="between">
      <formula>0</formula>
      <formula>0.255</formula>
    </cfRule>
  </conditionalFormatting>
  <conditionalFormatting sqref="S178">
    <cfRule type="cellIs" dxfId="6377" priority="4544" operator="between">
      <formula>0.76</formula>
      <formula>0.95</formula>
    </cfRule>
    <cfRule type="cellIs" dxfId="6376" priority="4545" operator="between">
      <formula>0.51</formula>
      <formula>0.75</formula>
    </cfRule>
    <cfRule type="cellIs" dxfId="6375" priority="4546" operator="greaterThan">
      <formula>1</formula>
    </cfRule>
    <cfRule type="cellIs" dxfId="6374" priority="4547" operator="between">
      <formula>0.95</formula>
      <formula>1</formula>
    </cfRule>
    <cfRule type="cellIs" dxfId="6373" priority="4548" stopIfTrue="1" operator="between">
      <formula>0</formula>
      <formula>0.5</formula>
    </cfRule>
  </conditionalFormatting>
  <conditionalFormatting sqref="K180:L180">
    <cfRule type="cellIs" dxfId="6372" priority="4527" operator="between">
      <formula>0.76</formula>
      <formula>0.95</formula>
    </cfRule>
    <cfRule type="cellIs" dxfId="6371" priority="4528" operator="between">
      <formula>0.51</formula>
      <formula>0.75</formula>
    </cfRule>
    <cfRule type="cellIs" dxfId="6370" priority="4529" operator="greaterThan">
      <formula>1</formula>
    </cfRule>
    <cfRule type="cellIs" dxfId="6369" priority="4530" operator="between">
      <formula>0.96</formula>
      <formula>1</formula>
    </cfRule>
    <cfRule type="cellIs" dxfId="6368" priority="4531" stopIfTrue="1" operator="between">
      <formula>0</formula>
      <formula>0.5</formula>
    </cfRule>
  </conditionalFormatting>
  <conditionalFormatting sqref="O180">
    <cfRule type="cellIs" dxfId="6367" priority="4522" operator="between">
      <formula>0.1876</formula>
      <formula>0.2375</formula>
    </cfRule>
    <cfRule type="cellIs" dxfId="6366" priority="4523" operator="between">
      <formula>0.1251</formula>
      <formula>0.1875</formula>
    </cfRule>
    <cfRule type="cellIs" dxfId="6365" priority="4524" operator="greaterThan">
      <formula>0.25</formula>
    </cfRule>
    <cfRule type="cellIs" dxfId="6364" priority="4525" operator="between">
      <formula>0.2375</formula>
      <formula>0.25</formula>
    </cfRule>
    <cfRule type="cellIs" dxfId="6363" priority="4526" stopIfTrue="1" operator="between">
      <formula>0</formula>
      <formula>0.125</formula>
    </cfRule>
  </conditionalFormatting>
  <conditionalFormatting sqref="M180:N180">
    <cfRule type="cellIs" dxfId="6362" priority="4517" operator="between">
      <formula>0.1876</formula>
      <formula>0.2375</formula>
    </cfRule>
    <cfRule type="cellIs" dxfId="6361" priority="4518" operator="between">
      <formula>0.1251</formula>
      <formula>0.1875</formula>
    </cfRule>
    <cfRule type="cellIs" dxfId="6360" priority="4519" operator="greaterThan">
      <formula>0.25</formula>
    </cfRule>
    <cfRule type="cellIs" dxfId="6359" priority="4520" operator="between">
      <formula>0.2376</formula>
      <formula>0.25</formula>
    </cfRule>
    <cfRule type="cellIs" dxfId="6358" priority="4521" stopIfTrue="1" operator="between">
      <formula>0</formula>
      <formula>0.125</formula>
    </cfRule>
  </conditionalFormatting>
  <conditionalFormatting sqref="R180 Y180:Z180 AF180:AI180">
    <cfRule type="cellIs" dxfId="6357" priority="4512" operator="between">
      <formula>0.76</formula>
      <formula>0.95</formula>
    </cfRule>
    <cfRule type="cellIs" dxfId="6356" priority="4513" operator="between">
      <formula>0.51</formula>
      <formula>0.75</formula>
    </cfRule>
    <cfRule type="cellIs" dxfId="6355" priority="4514" operator="greaterThan">
      <formula>1</formula>
    </cfRule>
    <cfRule type="cellIs" dxfId="6354" priority="4515" operator="between">
      <formula>0.95</formula>
      <formula>1</formula>
    </cfRule>
    <cfRule type="cellIs" dxfId="6353" priority="4516" stopIfTrue="1" operator="between">
      <formula>0</formula>
      <formula>0.5</formula>
    </cfRule>
  </conditionalFormatting>
  <conditionalFormatting sqref="T180">
    <cfRule type="cellIs" dxfId="6352" priority="4507" operator="between">
      <formula>0.3751</formula>
      <formula>0.475</formula>
    </cfRule>
    <cfRule type="cellIs" dxfId="6351" priority="4508" operator="between">
      <formula>0.2551</formula>
      <formula>0.375</formula>
    </cfRule>
    <cfRule type="cellIs" dxfId="6350" priority="4509" operator="greaterThan">
      <formula>0.505</formula>
    </cfRule>
    <cfRule type="cellIs" dxfId="6349" priority="4510" operator="between">
      <formula>0.48</formula>
      <formula>0.5</formula>
    </cfRule>
    <cfRule type="cellIs" dxfId="6348" priority="4511" stopIfTrue="1" operator="between">
      <formula>0</formula>
      <formula>0.255</formula>
    </cfRule>
  </conditionalFormatting>
  <conditionalFormatting sqref="AA180:AC180">
    <cfRule type="cellIs" dxfId="6347" priority="4502" operator="between">
      <formula>0.56251</formula>
      <formula>0.7125</formula>
    </cfRule>
    <cfRule type="cellIs" dxfId="6346" priority="4503" operator="between">
      <formula>0.3751</formula>
      <formula>0.5625</formula>
    </cfRule>
    <cfRule type="cellIs" dxfId="6345" priority="4504" operator="greaterThan">
      <formula>0.751</formula>
    </cfRule>
    <cfRule type="cellIs" dxfId="6344" priority="4505" operator="between">
      <formula>0.71251</formula>
      <formula>0.75</formula>
    </cfRule>
    <cfRule type="cellIs" dxfId="6343" priority="4506" stopIfTrue="1" operator="between">
      <formula>0</formula>
      <formula>0.375</formula>
    </cfRule>
  </conditionalFormatting>
  <conditionalFormatting sqref="U180">
    <cfRule type="cellIs" dxfId="6342" priority="4497" operator="between">
      <formula>0.376</formula>
      <formula>0.475</formula>
    </cfRule>
    <cfRule type="cellIs" dxfId="6341" priority="4498" operator="between">
      <formula>0.2551</formula>
      <formula>0.3751</formula>
    </cfRule>
    <cfRule type="cellIs" dxfId="6340" priority="4499" operator="greaterThan">
      <formula>0.505</formula>
    </cfRule>
    <cfRule type="cellIs" dxfId="6339" priority="4500" operator="between">
      <formula>0.48</formula>
      <formula>0.5</formula>
    </cfRule>
    <cfRule type="cellIs" dxfId="6338" priority="4501" stopIfTrue="1" operator="between">
      <formula>0</formula>
      <formula>0.255</formula>
    </cfRule>
  </conditionalFormatting>
  <conditionalFormatting sqref="V180">
    <cfRule type="cellIs" dxfId="6337" priority="4492" operator="between">
      <formula>0.376</formula>
      <formula>0.475</formula>
    </cfRule>
    <cfRule type="cellIs" dxfId="6336" priority="4493" operator="between">
      <formula>0.2551</formula>
      <formula>0.3751</formula>
    </cfRule>
    <cfRule type="cellIs" dxfId="6335" priority="4494" operator="greaterThan">
      <formula>0.505</formula>
    </cfRule>
    <cfRule type="cellIs" dxfId="6334" priority="4495" operator="between">
      <formula>0.48</formula>
      <formula>0.5</formula>
    </cfRule>
    <cfRule type="cellIs" dxfId="6333" priority="4496" stopIfTrue="1" operator="between">
      <formula>0</formula>
      <formula>0.255</formula>
    </cfRule>
  </conditionalFormatting>
  <conditionalFormatting sqref="S180">
    <cfRule type="cellIs" dxfId="6332" priority="4487" operator="between">
      <formula>0.76</formula>
      <formula>0.95</formula>
    </cfRule>
    <cfRule type="cellIs" dxfId="6331" priority="4488" operator="between">
      <formula>0.51</formula>
      <formula>0.75</formula>
    </cfRule>
    <cfRule type="cellIs" dxfId="6330" priority="4489" operator="greaterThan">
      <formula>1</formula>
    </cfRule>
    <cfRule type="cellIs" dxfId="6329" priority="4490" operator="between">
      <formula>0.95</formula>
      <formula>1</formula>
    </cfRule>
    <cfRule type="cellIs" dxfId="6328" priority="4491" stopIfTrue="1" operator="between">
      <formula>0</formula>
      <formula>0.5</formula>
    </cfRule>
  </conditionalFormatting>
  <conditionalFormatting sqref="K172:L172">
    <cfRule type="cellIs" dxfId="6327" priority="4470" operator="between">
      <formula>0.76</formula>
      <formula>0.95</formula>
    </cfRule>
    <cfRule type="cellIs" dxfId="6326" priority="4471" operator="between">
      <formula>0.51</formula>
      <formula>0.75</formula>
    </cfRule>
    <cfRule type="cellIs" dxfId="6325" priority="4472" operator="greaterThan">
      <formula>1</formula>
    </cfRule>
    <cfRule type="cellIs" dxfId="6324" priority="4473" operator="between">
      <formula>0.96</formula>
      <formula>1</formula>
    </cfRule>
    <cfRule type="cellIs" dxfId="6323" priority="4474" stopIfTrue="1" operator="between">
      <formula>0</formula>
      <formula>0.5</formula>
    </cfRule>
  </conditionalFormatting>
  <conditionalFormatting sqref="O172">
    <cfRule type="cellIs" dxfId="6322" priority="4465" operator="between">
      <formula>0.1876</formula>
      <formula>0.2375</formula>
    </cfRule>
    <cfRule type="cellIs" dxfId="6321" priority="4466" operator="between">
      <formula>0.1251</formula>
      <formula>0.1875</formula>
    </cfRule>
    <cfRule type="cellIs" dxfId="6320" priority="4467" operator="greaterThan">
      <formula>0.25</formula>
    </cfRule>
    <cfRule type="cellIs" dxfId="6319" priority="4468" operator="between">
      <formula>0.2375</formula>
      <formula>0.25</formula>
    </cfRule>
    <cfRule type="cellIs" dxfId="6318" priority="4469" stopIfTrue="1" operator="between">
      <formula>0</formula>
      <formula>0.125</formula>
    </cfRule>
  </conditionalFormatting>
  <conditionalFormatting sqref="M172:N172">
    <cfRule type="cellIs" dxfId="6317" priority="4460" operator="between">
      <formula>0.1876</formula>
      <formula>0.2375</formula>
    </cfRule>
    <cfRule type="cellIs" dxfId="6316" priority="4461" operator="between">
      <formula>0.1251</formula>
      <formula>0.1875</formula>
    </cfRule>
    <cfRule type="cellIs" dxfId="6315" priority="4462" operator="greaterThan">
      <formula>0.25</formula>
    </cfRule>
    <cfRule type="cellIs" dxfId="6314" priority="4463" operator="between">
      <formula>0.2376</formula>
      <formula>0.25</formula>
    </cfRule>
    <cfRule type="cellIs" dxfId="6313" priority="4464" stopIfTrue="1" operator="between">
      <formula>0</formula>
      <formula>0.125</formula>
    </cfRule>
  </conditionalFormatting>
  <conditionalFormatting sqref="AF172:AI172 R172 Y172">
    <cfRule type="cellIs" dxfId="6312" priority="4455" operator="between">
      <formula>0.76</formula>
      <formula>0.95</formula>
    </cfRule>
    <cfRule type="cellIs" dxfId="6311" priority="4456" operator="between">
      <formula>0.51</formula>
      <formula>0.75</formula>
    </cfRule>
    <cfRule type="cellIs" dxfId="6310" priority="4457" operator="greaterThan">
      <formula>1</formula>
    </cfRule>
    <cfRule type="cellIs" dxfId="6309" priority="4458" operator="between">
      <formula>0.95</formula>
      <formula>1</formula>
    </cfRule>
    <cfRule type="cellIs" dxfId="6308" priority="4459" stopIfTrue="1" operator="between">
      <formula>0</formula>
      <formula>0.5</formula>
    </cfRule>
  </conditionalFormatting>
  <conditionalFormatting sqref="T172">
    <cfRule type="cellIs" dxfId="6307" priority="4450" operator="between">
      <formula>0.3751</formula>
      <formula>0.475</formula>
    </cfRule>
    <cfRule type="cellIs" dxfId="6306" priority="4451" operator="between">
      <formula>0.2551</formula>
      <formula>0.375</formula>
    </cfRule>
    <cfRule type="cellIs" dxfId="6305" priority="4452" operator="greaterThan">
      <formula>0.505</formula>
    </cfRule>
    <cfRule type="cellIs" dxfId="6304" priority="4453" operator="between">
      <formula>0.48</formula>
      <formula>0.5</formula>
    </cfRule>
    <cfRule type="cellIs" dxfId="6303" priority="4454" stopIfTrue="1" operator="between">
      <formula>0</formula>
      <formula>0.255</formula>
    </cfRule>
  </conditionalFormatting>
  <conditionalFormatting sqref="AA172:AB172">
    <cfRule type="cellIs" dxfId="6302" priority="4445" operator="between">
      <formula>0.56251</formula>
      <formula>0.7125</formula>
    </cfRule>
    <cfRule type="cellIs" dxfId="6301" priority="4446" operator="between">
      <formula>0.3751</formula>
      <formula>0.5625</formula>
    </cfRule>
    <cfRule type="cellIs" dxfId="6300" priority="4447" operator="greaterThan">
      <formula>0.751</formula>
    </cfRule>
    <cfRule type="cellIs" dxfId="6299" priority="4448" operator="between">
      <formula>0.71251</formula>
      <formula>0.75</formula>
    </cfRule>
    <cfRule type="cellIs" dxfId="6298" priority="4449" stopIfTrue="1" operator="between">
      <formula>0</formula>
      <formula>0.375</formula>
    </cfRule>
  </conditionalFormatting>
  <conditionalFormatting sqref="U172">
    <cfRule type="cellIs" dxfId="6297" priority="4440" operator="between">
      <formula>0.376</formula>
      <formula>0.475</formula>
    </cfRule>
    <cfRule type="cellIs" dxfId="6296" priority="4441" operator="between">
      <formula>0.2551</formula>
      <formula>0.3751</formula>
    </cfRule>
    <cfRule type="cellIs" dxfId="6295" priority="4442" operator="greaterThan">
      <formula>0.505</formula>
    </cfRule>
    <cfRule type="cellIs" dxfId="6294" priority="4443" operator="between">
      <formula>0.48</formula>
      <formula>0.5</formula>
    </cfRule>
    <cfRule type="cellIs" dxfId="6293" priority="4444" stopIfTrue="1" operator="between">
      <formula>0</formula>
      <formula>0.255</formula>
    </cfRule>
  </conditionalFormatting>
  <conditionalFormatting sqref="AC172">
    <cfRule type="cellIs" dxfId="6292" priority="4435" operator="between">
      <formula>0.56251</formula>
      <formula>0.7125</formula>
    </cfRule>
    <cfRule type="cellIs" dxfId="6291" priority="4436" operator="between">
      <formula>0.3751</formula>
      <formula>0.5625</formula>
    </cfRule>
    <cfRule type="cellIs" dxfId="6290" priority="4437" operator="greaterThan">
      <formula>0.751</formula>
    </cfRule>
    <cfRule type="cellIs" dxfId="6289" priority="4438" operator="between">
      <formula>0.71251</formula>
      <formula>0.75</formula>
    </cfRule>
    <cfRule type="cellIs" dxfId="6288" priority="4439" stopIfTrue="1" operator="between">
      <formula>0</formula>
      <formula>0.375</formula>
    </cfRule>
  </conditionalFormatting>
  <conditionalFormatting sqref="V172">
    <cfRule type="cellIs" dxfId="6287" priority="4430" operator="between">
      <formula>0.376</formula>
      <formula>0.475</formula>
    </cfRule>
    <cfRule type="cellIs" dxfId="6286" priority="4431" operator="between">
      <formula>0.2551</formula>
      <formula>0.3751</formula>
    </cfRule>
    <cfRule type="cellIs" dxfId="6285" priority="4432" operator="greaterThan">
      <formula>0.505</formula>
    </cfRule>
    <cfRule type="cellIs" dxfId="6284" priority="4433" operator="between">
      <formula>0.48</formula>
      <formula>0.5</formula>
    </cfRule>
    <cfRule type="cellIs" dxfId="6283" priority="4434" stopIfTrue="1" operator="between">
      <formula>0</formula>
      <formula>0.255</formula>
    </cfRule>
  </conditionalFormatting>
  <conditionalFormatting sqref="Z172">
    <cfRule type="cellIs" dxfId="6282" priority="4425" operator="between">
      <formula>0.76</formula>
      <formula>0.95</formula>
    </cfRule>
    <cfRule type="cellIs" dxfId="6281" priority="4426" operator="between">
      <formula>0.51</formula>
      <formula>0.75</formula>
    </cfRule>
    <cfRule type="cellIs" dxfId="6280" priority="4427" operator="greaterThan">
      <formula>1</formula>
    </cfRule>
    <cfRule type="cellIs" dxfId="6279" priority="4428" operator="between">
      <formula>0.95</formula>
      <formula>1</formula>
    </cfRule>
    <cfRule type="cellIs" dxfId="6278" priority="4429" stopIfTrue="1" operator="between">
      <formula>0</formula>
      <formula>0.5</formula>
    </cfRule>
  </conditionalFormatting>
  <conditionalFormatting sqref="S172">
    <cfRule type="cellIs" dxfId="6277" priority="4420" operator="between">
      <formula>0.76</formula>
      <formula>0.95</formula>
    </cfRule>
    <cfRule type="cellIs" dxfId="6276" priority="4421" operator="between">
      <formula>0.51</formula>
      <formula>0.75</formula>
    </cfRule>
    <cfRule type="cellIs" dxfId="6275" priority="4422" operator="greaterThan">
      <formula>1</formula>
    </cfRule>
    <cfRule type="cellIs" dxfId="6274" priority="4423" operator="between">
      <formula>0.95</formula>
      <formula>1</formula>
    </cfRule>
    <cfRule type="cellIs" dxfId="6273" priority="4424" stopIfTrue="1" operator="between">
      <formula>0</formula>
      <formula>0.5</formula>
    </cfRule>
  </conditionalFormatting>
  <conditionalFormatting sqref="K173:L173">
    <cfRule type="cellIs" dxfId="6272" priority="4336" operator="between">
      <formula>0.76</formula>
      <formula>0.95</formula>
    </cfRule>
    <cfRule type="cellIs" dxfId="6271" priority="4337" operator="between">
      <formula>0.51</formula>
      <formula>0.75</formula>
    </cfRule>
    <cfRule type="cellIs" dxfId="6270" priority="4338" operator="greaterThan">
      <formula>1</formula>
    </cfRule>
    <cfRule type="cellIs" dxfId="6269" priority="4339" operator="between">
      <formula>0.96</formula>
      <formula>1</formula>
    </cfRule>
    <cfRule type="cellIs" dxfId="6268" priority="4340" stopIfTrue="1" operator="between">
      <formula>0</formula>
      <formula>0.5</formula>
    </cfRule>
  </conditionalFormatting>
  <conditionalFormatting sqref="O173">
    <cfRule type="cellIs" dxfId="6267" priority="4331" operator="between">
      <formula>0.1876</formula>
      <formula>0.2375</formula>
    </cfRule>
    <cfRule type="cellIs" dxfId="6266" priority="4332" operator="between">
      <formula>0.1251</formula>
      <formula>0.1875</formula>
    </cfRule>
    <cfRule type="cellIs" dxfId="6265" priority="4333" operator="greaterThan">
      <formula>0.25</formula>
    </cfRule>
    <cfRule type="cellIs" dxfId="6264" priority="4334" operator="between">
      <formula>0.2375</formula>
      <formula>0.25</formula>
    </cfRule>
    <cfRule type="cellIs" dxfId="6263" priority="4335" stopIfTrue="1" operator="between">
      <formula>0</formula>
      <formula>0.125</formula>
    </cfRule>
  </conditionalFormatting>
  <conditionalFormatting sqref="M173:N173">
    <cfRule type="cellIs" dxfId="6262" priority="4326" operator="between">
      <formula>0.1876</formula>
      <formula>0.2375</formula>
    </cfRule>
    <cfRule type="cellIs" dxfId="6261" priority="4327" operator="between">
      <formula>0.1251</formula>
      <formula>0.1875</formula>
    </cfRule>
    <cfRule type="cellIs" dxfId="6260" priority="4328" operator="greaterThan">
      <formula>0.25</formula>
    </cfRule>
    <cfRule type="cellIs" dxfId="6259" priority="4329" operator="between">
      <formula>0.2376</formula>
      <formula>0.25</formula>
    </cfRule>
    <cfRule type="cellIs" dxfId="6258" priority="4330" stopIfTrue="1" operator="between">
      <formula>0</formula>
      <formula>0.125</formula>
    </cfRule>
  </conditionalFormatting>
  <conditionalFormatting sqref="AF173:AI173 R173 Y173">
    <cfRule type="cellIs" dxfId="6257" priority="4321" operator="between">
      <formula>0.76</formula>
      <formula>0.95</formula>
    </cfRule>
    <cfRule type="cellIs" dxfId="6256" priority="4322" operator="between">
      <formula>0.51</formula>
      <formula>0.75</formula>
    </cfRule>
    <cfRule type="cellIs" dxfId="6255" priority="4323" operator="greaterThan">
      <formula>1</formula>
    </cfRule>
    <cfRule type="cellIs" dxfId="6254" priority="4324" operator="between">
      <formula>0.95</formula>
      <formula>1</formula>
    </cfRule>
    <cfRule type="cellIs" dxfId="6253" priority="4325" stopIfTrue="1" operator="between">
      <formula>0</formula>
      <formula>0.5</formula>
    </cfRule>
  </conditionalFormatting>
  <conditionalFormatting sqref="T173">
    <cfRule type="cellIs" dxfId="6252" priority="4316" operator="between">
      <formula>0.3751</formula>
      <formula>0.475</formula>
    </cfRule>
    <cfRule type="cellIs" dxfId="6251" priority="4317" operator="between">
      <formula>0.2551</formula>
      <formula>0.375</formula>
    </cfRule>
    <cfRule type="cellIs" dxfId="6250" priority="4318" operator="greaterThan">
      <formula>0.505</formula>
    </cfRule>
    <cfRule type="cellIs" dxfId="6249" priority="4319" operator="between">
      <formula>0.48</formula>
      <formula>0.5</formula>
    </cfRule>
    <cfRule type="cellIs" dxfId="6248" priority="4320" stopIfTrue="1" operator="between">
      <formula>0</formula>
      <formula>0.255</formula>
    </cfRule>
  </conditionalFormatting>
  <conditionalFormatting sqref="AA173:AB173">
    <cfRule type="cellIs" dxfId="6247" priority="4311" operator="between">
      <formula>0.56251</formula>
      <formula>0.7125</formula>
    </cfRule>
    <cfRule type="cellIs" dxfId="6246" priority="4312" operator="between">
      <formula>0.3751</formula>
      <formula>0.5625</formula>
    </cfRule>
    <cfRule type="cellIs" dxfId="6245" priority="4313" operator="greaterThan">
      <formula>0.751</formula>
    </cfRule>
    <cfRule type="cellIs" dxfId="6244" priority="4314" operator="between">
      <formula>0.71251</formula>
      <formula>0.75</formula>
    </cfRule>
    <cfRule type="cellIs" dxfId="6243" priority="4315" stopIfTrue="1" operator="between">
      <formula>0</formula>
      <formula>0.375</formula>
    </cfRule>
  </conditionalFormatting>
  <conditionalFormatting sqref="U173">
    <cfRule type="cellIs" dxfId="6242" priority="4306" operator="between">
      <formula>0.376</formula>
      <formula>0.475</formula>
    </cfRule>
    <cfRule type="cellIs" dxfId="6241" priority="4307" operator="between">
      <formula>0.2551</formula>
      <formula>0.3751</formula>
    </cfRule>
    <cfRule type="cellIs" dxfId="6240" priority="4308" operator="greaterThan">
      <formula>0.505</formula>
    </cfRule>
    <cfRule type="cellIs" dxfId="6239" priority="4309" operator="between">
      <formula>0.48</formula>
      <formula>0.5</formula>
    </cfRule>
    <cfRule type="cellIs" dxfId="6238" priority="4310" stopIfTrue="1" operator="between">
      <formula>0</formula>
      <formula>0.255</formula>
    </cfRule>
  </conditionalFormatting>
  <conditionalFormatting sqref="AC173">
    <cfRule type="cellIs" dxfId="6237" priority="4301" operator="between">
      <formula>0.56251</formula>
      <formula>0.7125</formula>
    </cfRule>
    <cfRule type="cellIs" dxfId="6236" priority="4302" operator="between">
      <formula>0.3751</formula>
      <formula>0.5625</formula>
    </cfRule>
    <cfRule type="cellIs" dxfId="6235" priority="4303" operator="greaterThan">
      <formula>0.751</formula>
    </cfRule>
    <cfRule type="cellIs" dxfId="6234" priority="4304" operator="between">
      <formula>0.71251</formula>
      <formula>0.75</formula>
    </cfRule>
    <cfRule type="cellIs" dxfId="6233" priority="4305" stopIfTrue="1" operator="between">
      <formula>0</formula>
      <formula>0.375</formula>
    </cfRule>
  </conditionalFormatting>
  <conditionalFormatting sqref="AH138">
    <cfRule type="cellIs" dxfId="6232" priority="4135" operator="between">
      <formula>0.76</formula>
      <formula>0.95</formula>
    </cfRule>
    <cfRule type="cellIs" dxfId="6231" priority="4136" operator="between">
      <formula>0.51</formula>
      <formula>0.75</formula>
    </cfRule>
    <cfRule type="cellIs" dxfId="6230" priority="4137" operator="greaterThan">
      <formula>1</formula>
    </cfRule>
    <cfRule type="cellIs" dxfId="6229" priority="4138" operator="between">
      <formula>0.95</formula>
      <formula>1</formula>
    </cfRule>
    <cfRule type="cellIs" dxfId="6228" priority="4139" stopIfTrue="1" operator="between">
      <formula>0</formula>
      <formula>0.5</formula>
    </cfRule>
  </conditionalFormatting>
  <conditionalFormatting sqref="AC243">
    <cfRule type="cellIs" dxfId="6227" priority="4207" operator="between">
      <formula>0.56251</formula>
      <formula>0.7125</formula>
    </cfRule>
    <cfRule type="cellIs" dxfId="6226" priority="4208" operator="between">
      <formula>0.3751</formula>
      <formula>0.5625</formula>
    </cfRule>
    <cfRule type="cellIs" dxfId="6225" priority="4209" operator="greaterThan">
      <formula>0.751</formula>
    </cfRule>
    <cfRule type="cellIs" dxfId="6224" priority="4210" operator="between">
      <formula>0.71251</formula>
      <formula>0.75</formula>
    </cfRule>
    <cfRule type="cellIs" dxfId="6223" priority="4211" stopIfTrue="1" operator="between">
      <formula>0</formula>
      <formula>0.375</formula>
    </cfRule>
  </conditionalFormatting>
  <conditionalFormatting sqref="AC138">
    <cfRule type="cellIs" dxfId="6222" priority="4115" operator="between">
      <formula>0.56251</formula>
      <formula>0.7125</formula>
    </cfRule>
    <cfRule type="cellIs" dxfId="6221" priority="4116" operator="between">
      <formula>0.3751</formula>
      <formula>0.5625</formula>
    </cfRule>
    <cfRule type="cellIs" dxfId="6220" priority="4117" operator="greaterThan">
      <formula>0.751</formula>
    </cfRule>
    <cfRule type="cellIs" dxfId="6219" priority="4118" operator="between">
      <formula>0.71251</formula>
      <formula>0.75</formula>
    </cfRule>
    <cfRule type="cellIs" dxfId="6218" priority="4119" stopIfTrue="1" operator="between">
      <formula>0</formula>
      <formula>0.375</formula>
    </cfRule>
  </conditionalFormatting>
  <conditionalFormatting sqref="S243">
    <cfRule type="cellIs" dxfId="6217" priority="4187" operator="between">
      <formula>0.76</formula>
      <formula>0.95</formula>
    </cfRule>
    <cfRule type="cellIs" dxfId="6216" priority="4188" operator="between">
      <formula>0.51</formula>
      <formula>0.75</formula>
    </cfRule>
    <cfRule type="cellIs" dxfId="6215" priority="4189" operator="greaterThan">
      <formula>1</formula>
    </cfRule>
    <cfRule type="cellIs" dxfId="6214" priority="4190" operator="between">
      <formula>0.95</formula>
      <formula>1</formula>
    </cfRule>
    <cfRule type="cellIs" dxfId="6213" priority="4191" stopIfTrue="1" operator="between">
      <formula>0</formula>
      <formula>0.5</formula>
    </cfRule>
  </conditionalFormatting>
  <conditionalFormatting sqref="R242 AF242:AI242 K242:L242">
    <cfRule type="cellIs" dxfId="6212" priority="4269" operator="between">
      <formula>0.76</formula>
      <formula>0.95</formula>
    </cfRule>
    <cfRule type="cellIs" dxfId="6211" priority="4270" operator="between">
      <formula>0.51</formula>
      <formula>0.75</formula>
    </cfRule>
    <cfRule type="cellIs" dxfId="6210" priority="4271" operator="greaterThan">
      <formula>1</formula>
    </cfRule>
    <cfRule type="cellIs" dxfId="6209" priority="4272" operator="between">
      <formula>0.96</formula>
      <formula>1</formula>
    </cfRule>
    <cfRule type="cellIs" dxfId="6208" priority="4273" stopIfTrue="1" operator="between">
      <formula>0</formula>
      <formula>0.5</formula>
    </cfRule>
  </conditionalFormatting>
  <conditionalFormatting sqref="O242">
    <cfRule type="cellIs" dxfId="6207" priority="4254" operator="between">
      <formula>0.1876</formula>
      <formula>0.2375</formula>
    </cfRule>
    <cfRule type="cellIs" dxfId="6206" priority="4255" operator="between">
      <formula>0.1251</formula>
      <formula>0.1875</formula>
    </cfRule>
    <cfRule type="cellIs" dxfId="6205" priority="4256" operator="greaterThan">
      <formula>0.25</formula>
    </cfRule>
    <cfRule type="cellIs" dxfId="6204" priority="4257" operator="between">
      <formula>0.2375</formula>
      <formula>0.25</formula>
    </cfRule>
    <cfRule type="cellIs" dxfId="6203" priority="4258" stopIfTrue="1" operator="between">
      <formula>0</formula>
      <formula>0.125</formula>
    </cfRule>
  </conditionalFormatting>
  <conditionalFormatting sqref="M242:N242">
    <cfRule type="cellIs" dxfId="6202" priority="4249" operator="between">
      <formula>0.1876</formula>
      <formula>0.2375</formula>
    </cfRule>
    <cfRule type="cellIs" dxfId="6201" priority="4250" operator="between">
      <formula>0.1251</formula>
      <formula>0.1875</formula>
    </cfRule>
    <cfRule type="cellIs" dxfId="6200" priority="4251" operator="greaterThan">
      <formula>0.25</formula>
    </cfRule>
    <cfRule type="cellIs" dxfId="6199" priority="4252" operator="between">
      <formula>0.2376</formula>
      <formula>0.25</formula>
    </cfRule>
    <cfRule type="cellIs" dxfId="6198" priority="4253" stopIfTrue="1" operator="between">
      <formula>0</formula>
      <formula>0.125</formula>
    </cfRule>
  </conditionalFormatting>
  <conditionalFormatting sqref="S242">
    <cfRule type="cellIs" dxfId="6197" priority="4239" operator="between">
      <formula>0.76</formula>
      <formula>0.95</formula>
    </cfRule>
    <cfRule type="cellIs" dxfId="6196" priority="4240" operator="between">
      <formula>0.51</formula>
      <formula>0.75</formula>
    </cfRule>
    <cfRule type="cellIs" dxfId="6195" priority="4241" operator="greaterThan">
      <formula>1</formula>
    </cfRule>
    <cfRule type="cellIs" dxfId="6194" priority="4242" operator="between">
      <formula>0.95</formula>
      <formula>1</formula>
    </cfRule>
    <cfRule type="cellIs" dxfId="6193" priority="4243" stopIfTrue="1" operator="between">
      <formula>0</formula>
      <formula>0.5</formula>
    </cfRule>
  </conditionalFormatting>
  <conditionalFormatting sqref="V242">
    <cfRule type="cellIs" dxfId="6192" priority="4234" operator="between">
      <formula>0.376</formula>
      <formula>0.475</formula>
    </cfRule>
    <cfRule type="cellIs" dxfId="6191" priority="4235" operator="between">
      <formula>0.2551</formula>
      <formula>0.3751</formula>
    </cfRule>
    <cfRule type="cellIs" dxfId="6190" priority="4236" operator="greaterThan">
      <formula>0.505</formula>
    </cfRule>
    <cfRule type="cellIs" dxfId="6189" priority="4237" operator="between">
      <formula>0.48</formula>
      <formula>0.5</formula>
    </cfRule>
    <cfRule type="cellIs" dxfId="6188" priority="4238" stopIfTrue="1" operator="between">
      <formula>0</formula>
      <formula>0.255</formula>
    </cfRule>
  </conditionalFormatting>
  <conditionalFormatting sqref="R243 Y243 AF243:AI243 K243:L243">
    <cfRule type="cellIs" dxfId="6187" priority="4217" operator="between">
      <formula>0.76</formula>
      <formula>0.95</formula>
    </cfRule>
    <cfRule type="cellIs" dxfId="6186" priority="4218" operator="between">
      <formula>0.51</formula>
      <formula>0.75</formula>
    </cfRule>
    <cfRule type="cellIs" dxfId="6185" priority="4219" operator="greaterThan">
      <formula>1</formula>
    </cfRule>
    <cfRule type="cellIs" dxfId="6184" priority="4220" operator="between">
      <formula>0.96</formula>
      <formula>1</formula>
    </cfRule>
    <cfRule type="cellIs" dxfId="6183" priority="4221" stopIfTrue="1" operator="between">
      <formula>0</formula>
      <formula>0.5</formula>
    </cfRule>
  </conditionalFormatting>
  <conditionalFormatting sqref="T138">
    <cfRule type="cellIs" dxfId="6182" priority="4130" operator="between">
      <formula>0.3751</formula>
      <formula>0.475</formula>
    </cfRule>
    <cfRule type="cellIs" dxfId="6181" priority="4131" operator="between">
      <formula>0.2551</formula>
      <formula>0.375</formula>
    </cfRule>
    <cfRule type="cellIs" dxfId="6180" priority="4132" operator="greaterThan">
      <formula>0.505</formula>
    </cfRule>
    <cfRule type="cellIs" dxfId="6179" priority="4133" operator="between">
      <formula>0.48</formula>
      <formula>0.5</formula>
    </cfRule>
    <cfRule type="cellIs" dxfId="6178" priority="4134" stopIfTrue="1" operator="between">
      <formula>0</formula>
      <formula>0.255</formula>
    </cfRule>
  </conditionalFormatting>
  <conditionalFormatting sqref="O243">
    <cfRule type="cellIs" dxfId="6177" priority="4202" operator="between">
      <formula>0.1876</formula>
      <formula>0.2375</formula>
    </cfRule>
    <cfRule type="cellIs" dxfId="6176" priority="4203" operator="between">
      <formula>0.1251</formula>
      <formula>0.1875</formula>
    </cfRule>
    <cfRule type="cellIs" dxfId="6175" priority="4204" operator="greaterThan">
      <formula>0.25</formula>
    </cfRule>
    <cfRule type="cellIs" dxfId="6174" priority="4205" operator="between">
      <formula>0.2375</formula>
      <formula>0.25</formula>
    </cfRule>
    <cfRule type="cellIs" dxfId="6173" priority="4206" stopIfTrue="1" operator="between">
      <formula>0</formula>
      <formula>0.125</formula>
    </cfRule>
  </conditionalFormatting>
  <conditionalFormatting sqref="M243:N243">
    <cfRule type="cellIs" dxfId="6172" priority="4197" operator="between">
      <formula>0.1876</formula>
      <formula>0.2375</formula>
    </cfRule>
    <cfRule type="cellIs" dxfId="6171" priority="4198" operator="between">
      <formula>0.1251</formula>
      <formula>0.1875</formula>
    </cfRule>
    <cfRule type="cellIs" dxfId="6170" priority="4199" operator="greaterThan">
      <formula>0.25</formula>
    </cfRule>
    <cfRule type="cellIs" dxfId="6169" priority="4200" operator="between">
      <formula>0.2376</formula>
      <formula>0.25</formula>
    </cfRule>
    <cfRule type="cellIs" dxfId="6168" priority="4201" stopIfTrue="1" operator="between">
      <formula>0</formula>
      <formula>0.125</formula>
    </cfRule>
  </conditionalFormatting>
  <conditionalFormatting sqref="V243">
    <cfRule type="cellIs" dxfId="6167" priority="4182" operator="between">
      <formula>0.376</formula>
      <formula>0.475</formula>
    </cfRule>
    <cfRule type="cellIs" dxfId="6166" priority="4183" operator="between">
      <formula>0.2551</formula>
      <formula>0.3751</formula>
    </cfRule>
    <cfRule type="cellIs" dxfId="6165" priority="4184" operator="greaterThan">
      <formula>0.505</formula>
    </cfRule>
    <cfRule type="cellIs" dxfId="6164" priority="4185" operator="between">
      <formula>0.48</formula>
      <formula>0.5</formula>
    </cfRule>
    <cfRule type="cellIs" dxfId="6163" priority="4186" stopIfTrue="1" operator="between">
      <formula>0</formula>
      <formula>0.255</formula>
    </cfRule>
  </conditionalFormatting>
  <conditionalFormatting sqref="O138">
    <cfRule type="cellIs" dxfId="6162" priority="4165" operator="between">
      <formula>0.1876</formula>
      <formula>0.2375</formula>
    </cfRule>
    <cfRule type="cellIs" dxfId="6161" priority="4166" operator="between">
      <formula>0.1251</formula>
      <formula>0.1875</formula>
    </cfRule>
    <cfRule type="cellIs" dxfId="6160" priority="4167" operator="greaterThan">
      <formula>0.25</formula>
    </cfRule>
    <cfRule type="cellIs" dxfId="6159" priority="4168" operator="between">
      <formula>0.2375</formula>
      <formula>0.25</formula>
    </cfRule>
    <cfRule type="cellIs" dxfId="6158" priority="4169" stopIfTrue="1" operator="between">
      <formula>0</formula>
      <formula>0.125</formula>
    </cfRule>
  </conditionalFormatting>
  <conditionalFormatting sqref="AG138 AI138 S138 Z138">
    <cfRule type="cellIs" dxfId="6157" priority="4155" operator="between">
      <formula>0.76</formula>
      <formula>0.95</formula>
    </cfRule>
    <cfRule type="cellIs" dxfId="6156" priority="4156" operator="between">
      <formula>0.51</formula>
      <formula>0.75</formula>
    </cfRule>
    <cfRule type="cellIs" dxfId="6155" priority="4157" operator="greaterThan">
      <formula>1</formula>
    </cfRule>
    <cfRule type="cellIs" dxfId="6154" priority="4158" operator="between">
      <formula>0.95</formula>
      <formula>1</formula>
    </cfRule>
    <cfRule type="cellIs" dxfId="6153" priority="4159" stopIfTrue="1" operator="between">
      <formula>0</formula>
      <formula>0.5</formula>
    </cfRule>
  </conditionalFormatting>
  <conditionalFormatting sqref="R138">
    <cfRule type="cellIs" dxfId="6152" priority="4150" operator="between">
      <formula>0.76</formula>
      <formula>0.95</formula>
    </cfRule>
    <cfRule type="cellIs" dxfId="6151" priority="4151" operator="between">
      <formula>0.51</formula>
      <formula>0.75</formula>
    </cfRule>
    <cfRule type="cellIs" dxfId="6150" priority="4152" operator="greaterThan">
      <formula>1</formula>
    </cfRule>
    <cfRule type="cellIs" dxfId="6149" priority="4153" operator="between">
      <formula>0.95</formula>
      <formula>1</formula>
    </cfRule>
    <cfRule type="cellIs" dxfId="6148" priority="4154" stopIfTrue="1" operator="between">
      <formula>0</formula>
      <formula>0.5</formula>
    </cfRule>
  </conditionalFormatting>
  <conditionalFormatting sqref="Y138">
    <cfRule type="cellIs" dxfId="6147" priority="4145" operator="between">
      <formula>0.76</formula>
      <formula>0.95</formula>
    </cfRule>
    <cfRule type="cellIs" dxfId="6146" priority="4146" operator="between">
      <formula>0.51</formula>
      <formula>0.75</formula>
    </cfRule>
    <cfRule type="cellIs" dxfId="6145" priority="4147" operator="greaterThan">
      <formula>1</formula>
    </cfRule>
    <cfRule type="cellIs" dxfId="6144" priority="4148" operator="between">
      <formula>0.95</formula>
      <formula>1</formula>
    </cfRule>
    <cfRule type="cellIs" dxfId="6143" priority="4149" stopIfTrue="1" operator="between">
      <formula>0</formula>
      <formula>0.5</formula>
    </cfRule>
  </conditionalFormatting>
  <conditionalFormatting sqref="AF138">
    <cfRule type="cellIs" dxfId="6142" priority="4140" operator="between">
      <formula>0.76</formula>
      <formula>0.95</formula>
    </cfRule>
    <cfRule type="cellIs" dxfId="6141" priority="4141" operator="between">
      <formula>0.51</formula>
      <formula>0.75</formula>
    </cfRule>
    <cfRule type="cellIs" dxfId="6140" priority="4142" operator="greaterThan">
      <formula>1</formula>
    </cfRule>
    <cfRule type="cellIs" dxfId="6139" priority="4143" operator="between">
      <formula>0.95</formula>
      <formula>1</formula>
    </cfRule>
    <cfRule type="cellIs" dxfId="6138" priority="4144" stopIfTrue="1" operator="between">
      <formula>0</formula>
      <formula>0.5</formula>
    </cfRule>
  </conditionalFormatting>
  <conditionalFormatting sqref="U138:V138">
    <cfRule type="cellIs" dxfId="6137" priority="4125" operator="between">
      <formula>0.376</formula>
      <formula>0.475</formula>
    </cfRule>
    <cfRule type="cellIs" dxfId="6136" priority="4126" operator="between">
      <formula>0.2551</formula>
      <formula>0.3751</formula>
    </cfRule>
    <cfRule type="cellIs" dxfId="6135" priority="4127" operator="greaterThan">
      <formula>0.505</formula>
    </cfRule>
    <cfRule type="cellIs" dxfId="6134" priority="4128" operator="between">
      <formula>0.48</formula>
      <formula>0.5</formula>
    </cfRule>
    <cfRule type="cellIs" dxfId="6133" priority="4129" stopIfTrue="1" operator="between">
      <formula>0</formula>
      <formula>0.255</formula>
    </cfRule>
  </conditionalFormatting>
  <conditionalFormatting sqref="AA138">
    <cfRule type="cellIs" dxfId="6132" priority="4120" operator="between">
      <formula>0.56251</formula>
      <formula>0.7125</formula>
    </cfRule>
    <cfRule type="cellIs" dxfId="6131" priority="4121" operator="between">
      <formula>0.3751</formula>
      <formula>0.5625</formula>
    </cfRule>
    <cfRule type="cellIs" dxfId="6130" priority="4122" operator="greaterThan">
      <formula>0.751</formula>
    </cfRule>
    <cfRule type="cellIs" dxfId="6129" priority="4123" operator="between">
      <formula>0.71251</formula>
      <formula>0.75</formula>
    </cfRule>
    <cfRule type="cellIs" dxfId="6128" priority="4124" stopIfTrue="1" operator="between">
      <formula>0</formula>
      <formula>0.375</formula>
    </cfRule>
  </conditionalFormatting>
  <conditionalFormatting sqref="AB138">
    <cfRule type="cellIs" dxfId="6127" priority="4110" operator="between">
      <formula>0.56251</formula>
      <formula>0.7125</formula>
    </cfRule>
    <cfRule type="cellIs" dxfId="6126" priority="4111" operator="between">
      <formula>0.3751</formula>
      <formula>0.5625</formula>
    </cfRule>
    <cfRule type="cellIs" dxfId="6125" priority="4112" operator="greaterThan">
      <formula>0.751</formula>
    </cfRule>
    <cfRule type="cellIs" dxfId="6124" priority="4113" operator="between">
      <formula>0.71251</formula>
      <formula>0.75</formula>
    </cfRule>
    <cfRule type="cellIs" dxfId="6123" priority="4114" stopIfTrue="1" operator="between">
      <formula>0</formula>
      <formula>0.375</formula>
    </cfRule>
  </conditionalFormatting>
  <conditionalFormatting sqref="L138">
    <cfRule type="cellIs" dxfId="6122" priority="4093" operator="between">
      <formula>0.76</formula>
      <formula>0.95</formula>
    </cfRule>
    <cfRule type="cellIs" dxfId="6121" priority="4094" operator="between">
      <formula>0.51</formula>
      <formula>0.75</formula>
    </cfRule>
    <cfRule type="cellIs" dxfId="6120" priority="4095" operator="greaterThan">
      <formula>1</formula>
    </cfRule>
    <cfRule type="cellIs" dxfId="6119" priority="4096" operator="between">
      <formula>0.96</formula>
      <formula>1</formula>
    </cfRule>
    <cfRule type="cellIs" dxfId="6118" priority="4097" stopIfTrue="1" operator="between">
      <formula>0</formula>
      <formula>0.5</formula>
    </cfRule>
  </conditionalFormatting>
  <conditionalFormatting sqref="K207:L207">
    <cfRule type="cellIs" dxfId="6117" priority="4083" operator="between">
      <formula>0.76</formula>
      <formula>0.95</formula>
    </cfRule>
    <cfRule type="cellIs" dxfId="6116" priority="4084" operator="between">
      <formula>0.51</formula>
      <formula>0.75</formula>
    </cfRule>
    <cfRule type="cellIs" dxfId="6115" priority="4085" operator="greaterThan">
      <formula>1</formula>
    </cfRule>
    <cfRule type="cellIs" dxfId="6114" priority="4086" operator="between">
      <formula>0.96</formula>
      <formula>1</formula>
    </cfRule>
    <cfRule type="cellIs" dxfId="6113" priority="4087" stopIfTrue="1" operator="between">
      <formula>0</formula>
      <formula>0.5</formula>
    </cfRule>
  </conditionalFormatting>
  <conditionalFormatting sqref="AI207">
    <cfRule type="cellIs" dxfId="6112" priority="4078" operator="between">
      <formula>0.76</formula>
      <formula>0.95</formula>
    </cfRule>
    <cfRule type="cellIs" dxfId="6111" priority="4079" operator="between">
      <formula>0.51</formula>
      <formula>0.75</formula>
    </cfRule>
    <cfRule type="cellIs" dxfId="6110" priority="4080" operator="greaterThan">
      <formula>1</formula>
    </cfRule>
    <cfRule type="cellIs" dxfId="6109" priority="4081" operator="between">
      <formula>0.95</formula>
      <formula>1</formula>
    </cfRule>
    <cfRule type="cellIs" dxfId="6108" priority="4082" stopIfTrue="1" operator="between">
      <formula>0</formula>
      <formula>0.5</formula>
    </cfRule>
  </conditionalFormatting>
  <conditionalFormatting sqref="R207">
    <cfRule type="cellIs" dxfId="6107" priority="4073" operator="between">
      <formula>0.76</formula>
      <formula>0.95</formula>
    </cfRule>
    <cfRule type="cellIs" dxfId="6106" priority="4074" operator="between">
      <formula>0.51</formula>
      <formula>0.75</formula>
    </cfRule>
    <cfRule type="cellIs" dxfId="6105" priority="4075" operator="greaterThan">
      <formula>1</formula>
    </cfRule>
    <cfRule type="cellIs" dxfId="6104" priority="4076" operator="between">
      <formula>0.95</formula>
      <formula>1</formula>
    </cfRule>
    <cfRule type="cellIs" dxfId="6103" priority="4077" stopIfTrue="1" operator="between">
      <formula>0</formula>
      <formula>0.5</formula>
    </cfRule>
  </conditionalFormatting>
  <conditionalFormatting sqref="Y207">
    <cfRule type="cellIs" dxfId="6102" priority="4068" operator="between">
      <formula>0.76</formula>
      <formula>0.95</formula>
    </cfRule>
    <cfRule type="cellIs" dxfId="6101" priority="4069" operator="between">
      <formula>0.51</formula>
      <formula>0.75</formula>
    </cfRule>
    <cfRule type="cellIs" dxfId="6100" priority="4070" operator="greaterThan">
      <formula>1</formula>
    </cfRule>
    <cfRule type="cellIs" dxfId="6099" priority="4071" operator="between">
      <formula>0.95</formula>
      <formula>1</formula>
    </cfRule>
    <cfRule type="cellIs" dxfId="6098" priority="4072" stopIfTrue="1" operator="between">
      <formula>0</formula>
      <formula>0.5</formula>
    </cfRule>
  </conditionalFormatting>
  <conditionalFormatting sqref="AH207">
    <cfRule type="cellIs" dxfId="6097" priority="4058" operator="between">
      <formula>0.76</formula>
      <formula>0.95</formula>
    </cfRule>
    <cfRule type="cellIs" dxfId="6096" priority="4059" operator="between">
      <formula>0.51</formula>
      <formula>0.75</formula>
    </cfRule>
    <cfRule type="cellIs" dxfId="6095" priority="4060" operator="greaterThan">
      <formula>1</formula>
    </cfRule>
    <cfRule type="cellIs" dxfId="6094" priority="4061" operator="between">
      <formula>0.95</formula>
      <formula>1</formula>
    </cfRule>
    <cfRule type="cellIs" dxfId="6093" priority="4062" stopIfTrue="1" operator="between">
      <formula>0</formula>
      <formula>0.5</formula>
    </cfRule>
  </conditionalFormatting>
  <conditionalFormatting sqref="T207">
    <cfRule type="cellIs" dxfId="6092" priority="4053" operator="between">
      <formula>0.3751</formula>
      <formula>0.475</formula>
    </cfRule>
    <cfRule type="cellIs" dxfId="6091" priority="4054" operator="between">
      <formula>0.2551</formula>
      <formula>0.375</formula>
    </cfRule>
    <cfRule type="cellIs" dxfId="6090" priority="4055" operator="greaterThan">
      <formula>0.505</formula>
    </cfRule>
    <cfRule type="cellIs" dxfId="6089" priority="4056" operator="between">
      <formula>0.48</formula>
      <formula>0.5</formula>
    </cfRule>
    <cfRule type="cellIs" dxfId="6088" priority="4057" stopIfTrue="1" operator="between">
      <formula>0</formula>
      <formula>0.255</formula>
    </cfRule>
  </conditionalFormatting>
  <conditionalFormatting sqref="U207:V207">
    <cfRule type="cellIs" dxfId="6087" priority="4048" operator="between">
      <formula>0.376</formula>
      <formula>0.475</formula>
    </cfRule>
    <cfRule type="cellIs" dxfId="6086" priority="4049" operator="between">
      <formula>0.2551</formula>
      <formula>0.3751</formula>
    </cfRule>
    <cfRule type="cellIs" dxfId="6085" priority="4050" operator="greaterThan">
      <formula>0.505</formula>
    </cfRule>
    <cfRule type="cellIs" dxfId="6084" priority="4051" operator="between">
      <formula>0.48</formula>
      <formula>0.5</formula>
    </cfRule>
    <cfRule type="cellIs" dxfId="6083" priority="4052" stopIfTrue="1" operator="between">
      <formula>0</formula>
      <formula>0.255</formula>
    </cfRule>
  </conditionalFormatting>
  <conditionalFormatting sqref="AA207">
    <cfRule type="cellIs" dxfId="6082" priority="4043" operator="between">
      <formula>0.56251</formula>
      <formula>0.7125</formula>
    </cfRule>
    <cfRule type="cellIs" dxfId="6081" priority="4044" operator="between">
      <formula>0.3751</formula>
      <formula>0.5625</formula>
    </cfRule>
    <cfRule type="cellIs" dxfId="6080" priority="4045" operator="greaterThan">
      <formula>0.751</formula>
    </cfRule>
    <cfRule type="cellIs" dxfId="6079" priority="4046" operator="between">
      <formula>0.71251</formula>
      <formula>0.75</formula>
    </cfRule>
    <cfRule type="cellIs" dxfId="6078" priority="4047" stopIfTrue="1" operator="between">
      <formula>0</formula>
      <formula>0.375</formula>
    </cfRule>
  </conditionalFormatting>
  <conditionalFormatting sqref="AC207">
    <cfRule type="cellIs" dxfId="6077" priority="4038" operator="between">
      <formula>0.56251</formula>
      <formula>0.7125</formula>
    </cfRule>
    <cfRule type="cellIs" dxfId="6076" priority="4039" operator="between">
      <formula>0.3751</formula>
      <formula>0.5625</formula>
    </cfRule>
    <cfRule type="cellIs" dxfId="6075" priority="4040" operator="greaterThan">
      <formula>0.751</formula>
    </cfRule>
    <cfRule type="cellIs" dxfId="6074" priority="4041" operator="between">
      <formula>0.71251</formula>
      <formula>0.75</formula>
    </cfRule>
    <cfRule type="cellIs" dxfId="6073" priority="4042" stopIfTrue="1" operator="between">
      <formula>0</formula>
      <formula>0.375</formula>
    </cfRule>
  </conditionalFormatting>
  <conditionalFormatting sqref="AB207">
    <cfRule type="cellIs" dxfId="6072" priority="4033" operator="between">
      <formula>0.56251</formula>
      <formula>0.7125</formula>
    </cfRule>
    <cfRule type="cellIs" dxfId="6071" priority="4034" operator="between">
      <formula>0.3751</formula>
      <formula>0.5625</formula>
    </cfRule>
    <cfRule type="cellIs" dxfId="6070" priority="4035" operator="greaterThan">
      <formula>0.751</formula>
    </cfRule>
    <cfRule type="cellIs" dxfId="6069" priority="4036" operator="between">
      <formula>0.71251</formula>
      <formula>0.75</formula>
    </cfRule>
    <cfRule type="cellIs" dxfId="6068" priority="4037" stopIfTrue="1" operator="between">
      <formula>0</formula>
      <formula>0.375</formula>
    </cfRule>
  </conditionalFormatting>
  <conditionalFormatting sqref="S207">
    <cfRule type="cellIs" dxfId="6067" priority="4028" operator="between">
      <formula>0.76</formula>
      <formula>0.95</formula>
    </cfRule>
    <cfRule type="cellIs" dxfId="6066" priority="4029" operator="between">
      <formula>0.51</formula>
      <formula>0.75</formula>
    </cfRule>
    <cfRule type="cellIs" dxfId="6065" priority="4030" operator="greaterThan">
      <formula>1</formula>
    </cfRule>
    <cfRule type="cellIs" dxfId="6064" priority="4031" operator="between">
      <formula>0.95</formula>
      <formula>1</formula>
    </cfRule>
    <cfRule type="cellIs" dxfId="6063" priority="4032" stopIfTrue="1" operator="between">
      <formula>0</formula>
      <formula>0.5</formula>
    </cfRule>
  </conditionalFormatting>
  <conditionalFormatting sqref="Z207">
    <cfRule type="cellIs" dxfId="6062" priority="4023" operator="between">
      <formula>0.76</formula>
      <formula>0.95</formula>
    </cfRule>
    <cfRule type="cellIs" dxfId="6061" priority="4024" operator="between">
      <formula>0.51</formula>
      <formula>0.75</formula>
    </cfRule>
    <cfRule type="cellIs" dxfId="6060" priority="4025" operator="greaterThan">
      <formula>1</formula>
    </cfRule>
    <cfRule type="cellIs" dxfId="6059" priority="4026" operator="between">
      <formula>0.95</formula>
      <formula>1</formula>
    </cfRule>
    <cfRule type="cellIs" dxfId="6058" priority="4027" stopIfTrue="1" operator="between">
      <formula>0</formula>
      <formula>0.5</formula>
    </cfRule>
  </conditionalFormatting>
  <conditionalFormatting sqref="M207">
    <cfRule type="cellIs" dxfId="6057" priority="4006" operator="between">
      <formula>0.1876</formula>
      <formula>0.2375</formula>
    </cfRule>
    <cfRule type="cellIs" dxfId="6056" priority="4007" operator="between">
      <formula>0.1251</formula>
      <formula>0.1875</formula>
    </cfRule>
    <cfRule type="cellIs" dxfId="6055" priority="4008" operator="greaterThan">
      <formula>0.25</formula>
    </cfRule>
    <cfRule type="cellIs" dxfId="6054" priority="4009" operator="between">
      <formula>0.2376</formula>
      <formula>0.25</formula>
    </cfRule>
    <cfRule type="cellIs" dxfId="6053" priority="4010" stopIfTrue="1" operator="between">
      <formula>0</formula>
      <formula>0.125</formula>
    </cfRule>
  </conditionalFormatting>
  <conditionalFormatting sqref="N207">
    <cfRule type="cellIs" dxfId="6052" priority="4001" operator="between">
      <formula>0.1876</formula>
      <formula>0.2375</formula>
    </cfRule>
    <cfRule type="cellIs" dxfId="6051" priority="4002" operator="between">
      <formula>0.1251</formula>
      <formula>0.1875</formula>
    </cfRule>
    <cfRule type="cellIs" dxfId="6050" priority="4003" operator="greaterThan">
      <formula>0.25</formula>
    </cfRule>
    <cfRule type="cellIs" dxfId="6049" priority="4004" operator="between">
      <formula>0.2376</formula>
      <formula>0.25</formula>
    </cfRule>
    <cfRule type="cellIs" dxfId="6048" priority="4005" stopIfTrue="1" operator="between">
      <formula>0</formula>
      <formula>0.125</formula>
    </cfRule>
  </conditionalFormatting>
  <conditionalFormatting sqref="O207">
    <cfRule type="cellIs" dxfId="6047" priority="3996" operator="between">
      <formula>0.1876</formula>
      <formula>0.2375</formula>
    </cfRule>
    <cfRule type="cellIs" dxfId="6046" priority="3997" operator="between">
      <formula>0.1251</formula>
      <formula>0.1875</formula>
    </cfRule>
    <cfRule type="cellIs" dxfId="6045" priority="3998" operator="greaterThan">
      <formula>0.25</formula>
    </cfRule>
    <cfRule type="cellIs" dxfId="6044" priority="3999" operator="between">
      <formula>0.2375</formula>
      <formula>0.25</formula>
    </cfRule>
    <cfRule type="cellIs" dxfId="6043" priority="4000" stopIfTrue="1" operator="between">
      <formula>0</formula>
      <formula>0.125</formula>
    </cfRule>
  </conditionalFormatting>
  <conditionalFormatting sqref="N31">
    <cfRule type="cellIs" dxfId="6042" priority="3807" operator="between">
      <formula>0.1876</formula>
      <formula>0.2375</formula>
    </cfRule>
    <cfRule type="cellIs" dxfId="6041" priority="3808" operator="between">
      <formula>0.1251</formula>
      <formula>0.1875</formula>
    </cfRule>
    <cfRule type="cellIs" dxfId="6040" priority="3809" operator="greaterThan">
      <formula>0.25</formula>
    </cfRule>
    <cfRule type="cellIs" dxfId="6039" priority="3810" operator="between">
      <formula>0.2376</formula>
      <formula>0.25</formula>
    </cfRule>
    <cfRule type="cellIs" dxfId="6038" priority="3811" stopIfTrue="1" operator="between">
      <formula>0</formula>
      <formula>0.125</formula>
    </cfRule>
  </conditionalFormatting>
  <conditionalFormatting sqref="T160">
    <cfRule type="cellIs" dxfId="6037" priority="3904" operator="between">
      <formula>0.3751</formula>
      <formula>0.475</formula>
    </cfRule>
    <cfRule type="cellIs" dxfId="6036" priority="3905" operator="between">
      <formula>0.2551</formula>
      <formula>0.375</formula>
    </cfRule>
    <cfRule type="cellIs" dxfId="6035" priority="3906" operator="greaterThan">
      <formula>0.505</formula>
    </cfRule>
    <cfRule type="cellIs" dxfId="6034" priority="3907" operator="between">
      <formula>0.48</formula>
      <formula>0.5</formula>
    </cfRule>
    <cfRule type="cellIs" dxfId="6033" priority="3908" stopIfTrue="1" operator="between">
      <formula>0</formula>
      <formula>0.255</formula>
    </cfRule>
  </conditionalFormatting>
  <conditionalFormatting sqref="R160:S160 Y160:Z160 AF160:AI160 K160:L160">
    <cfRule type="cellIs" dxfId="6032" priority="3909" operator="between">
      <formula>0.76</formula>
      <formula>0.95</formula>
    </cfRule>
    <cfRule type="cellIs" dxfId="6031" priority="3910" operator="between">
      <formula>0.51</formula>
      <formula>0.75</formula>
    </cfRule>
    <cfRule type="cellIs" dxfId="6030" priority="3911" operator="greaterThan">
      <formula>1</formula>
    </cfRule>
    <cfRule type="cellIs" dxfId="6029" priority="3912" operator="between">
      <formula>0.96</formula>
      <formula>1</formula>
    </cfRule>
    <cfRule type="cellIs" dxfId="6028" priority="3913" stopIfTrue="1" operator="between">
      <formula>0</formula>
      <formula>0.5</formula>
    </cfRule>
  </conditionalFormatting>
  <conditionalFormatting sqref="AA160:AC160">
    <cfRule type="cellIs" dxfId="6027" priority="3899" operator="between">
      <formula>0.56251</formula>
      <formula>0.7125</formula>
    </cfRule>
    <cfRule type="cellIs" dxfId="6026" priority="3900" operator="between">
      <formula>0.3751</formula>
      <formula>0.5625</formula>
    </cfRule>
    <cfRule type="cellIs" dxfId="6025" priority="3901" operator="greaterThan">
      <formula>0.751</formula>
    </cfRule>
    <cfRule type="cellIs" dxfId="6024" priority="3902" operator="between">
      <formula>0.71251</formula>
      <formula>0.75</formula>
    </cfRule>
    <cfRule type="cellIs" dxfId="6023" priority="3903" stopIfTrue="1" operator="between">
      <formula>0</formula>
      <formula>0.375</formula>
    </cfRule>
  </conditionalFormatting>
  <conditionalFormatting sqref="O160">
    <cfRule type="cellIs" dxfId="6022" priority="3894" operator="between">
      <formula>0.1876</formula>
      <formula>0.2375</formula>
    </cfRule>
    <cfRule type="cellIs" dxfId="6021" priority="3895" operator="between">
      <formula>0.1251</formula>
      <formula>0.1875</formula>
    </cfRule>
    <cfRule type="cellIs" dxfId="6020" priority="3896" operator="greaterThan">
      <formula>0.25</formula>
    </cfRule>
    <cfRule type="cellIs" dxfId="6019" priority="3897" operator="between">
      <formula>0.2375</formula>
      <formula>0.25</formula>
    </cfRule>
    <cfRule type="cellIs" dxfId="6018" priority="3898" stopIfTrue="1" operator="between">
      <formula>0</formula>
      <formula>0.125</formula>
    </cfRule>
  </conditionalFormatting>
  <conditionalFormatting sqref="M160:N160">
    <cfRule type="cellIs" dxfId="6017" priority="3889" operator="between">
      <formula>0.1876</formula>
      <formula>0.2375</formula>
    </cfRule>
    <cfRule type="cellIs" dxfId="6016" priority="3890" operator="between">
      <formula>0.1251</formula>
      <formula>0.1875</formula>
    </cfRule>
    <cfRule type="cellIs" dxfId="6015" priority="3891" operator="greaterThan">
      <formula>0.25</formula>
    </cfRule>
    <cfRule type="cellIs" dxfId="6014" priority="3892" operator="between">
      <formula>0.2376</formula>
      <formula>0.25</formula>
    </cfRule>
    <cfRule type="cellIs" dxfId="6013" priority="3893" stopIfTrue="1" operator="between">
      <formula>0</formula>
      <formula>0.125</formula>
    </cfRule>
  </conditionalFormatting>
  <conditionalFormatting sqref="U160:V160">
    <cfRule type="cellIs" dxfId="6012" priority="3884" operator="between">
      <formula>0.376</formula>
      <formula>0.475</formula>
    </cfRule>
    <cfRule type="cellIs" dxfId="6011" priority="3885" operator="between">
      <formula>0.2551</formula>
      <formula>0.3751</formula>
    </cfRule>
    <cfRule type="cellIs" dxfId="6010" priority="3886" operator="greaterThan">
      <formula>0.505</formula>
    </cfRule>
    <cfRule type="cellIs" dxfId="6009" priority="3887" operator="between">
      <formula>0.48</formula>
      <formula>0.5</formula>
    </cfRule>
    <cfRule type="cellIs" dxfId="6008" priority="3888" stopIfTrue="1" operator="between">
      <formula>0</formula>
      <formula>0.255</formula>
    </cfRule>
  </conditionalFormatting>
  <conditionalFormatting sqref="Y31 R31 AF31 AH31:AI31">
    <cfRule type="cellIs" dxfId="6007" priority="3867" operator="between">
      <formula>0.76</formula>
      <formula>0.95</formula>
    </cfRule>
    <cfRule type="cellIs" dxfId="6006" priority="3868" operator="between">
      <formula>0.51</formula>
      <formula>0.75</formula>
    </cfRule>
    <cfRule type="cellIs" dxfId="6005" priority="3869" operator="greaterThan">
      <formula>1</formula>
    </cfRule>
    <cfRule type="cellIs" dxfId="6004" priority="3870" operator="between">
      <formula>0.95</formula>
      <formula>1</formula>
    </cfRule>
    <cfRule type="cellIs" dxfId="6003" priority="3871" stopIfTrue="1" operator="between">
      <formula>0</formula>
      <formula>0.5</formula>
    </cfRule>
  </conditionalFormatting>
  <conditionalFormatting sqref="T31">
    <cfRule type="cellIs" dxfId="6002" priority="3862" operator="between">
      <formula>0.3751</formula>
      <formula>0.475</formula>
    </cfRule>
    <cfRule type="cellIs" dxfId="6001" priority="3863" operator="between">
      <formula>0.2551</formula>
      <formula>0.375</formula>
    </cfRule>
    <cfRule type="cellIs" dxfId="6000" priority="3864" operator="greaterThan">
      <formula>0.505</formula>
    </cfRule>
    <cfRule type="cellIs" dxfId="5999" priority="3865" operator="between">
      <formula>0.48</formula>
      <formula>0.5</formula>
    </cfRule>
    <cfRule type="cellIs" dxfId="5998" priority="3866" stopIfTrue="1" operator="between">
      <formula>0</formula>
      <formula>0.255</formula>
    </cfRule>
  </conditionalFormatting>
  <conditionalFormatting sqref="AA31:AB31">
    <cfRule type="cellIs" dxfId="5997" priority="3857" operator="between">
      <formula>0.56251</formula>
      <formula>0.7125</formula>
    </cfRule>
    <cfRule type="cellIs" dxfId="5996" priority="3858" operator="between">
      <formula>0.3751</formula>
      <formula>0.5625</formula>
    </cfRule>
    <cfRule type="cellIs" dxfId="5995" priority="3859" operator="greaterThan">
      <formula>0.751</formula>
    </cfRule>
    <cfRule type="cellIs" dxfId="5994" priority="3860" operator="between">
      <formula>0.71251</formula>
      <formula>0.75</formula>
    </cfRule>
    <cfRule type="cellIs" dxfId="5993" priority="3861" stopIfTrue="1" operator="between">
      <formula>0</formula>
      <formula>0.375</formula>
    </cfRule>
  </conditionalFormatting>
  <conditionalFormatting sqref="U31">
    <cfRule type="cellIs" dxfId="5992" priority="3852" operator="between">
      <formula>0.376</formula>
      <formula>0.475</formula>
    </cfRule>
    <cfRule type="cellIs" dxfId="5991" priority="3853" operator="between">
      <formula>0.2551</formula>
      <formula>0.3751</formula>
    </cfRule>
    <cfRule type="cellIs" dxfId="5990" priority="3854" operator="greaterThan">
      <formula>0.505</formula>
    </cfRule>
    <cfRule type="cellIs" dxfId="5989" priority="3855" operator="between">
      <formula>0.48</formula>
      <formula>0.5</formula>
    </cfRule>
    <cfRule type="cellIs" dxfId="5988" priority="3856" stopIfTrue="1" operator="between">
      <formula>0</formula>
      <formula>0.255</formula>
    </cfRule>
  </conditionalFormatting>
  <conditionalFormatting sqref="AG31">
    <cfRule type="cellIs" dxfId="5987" priority="3832" operator="between">
      <formula>0.76</formula>
      <formula>0.95</formula>
    </cfRule>
    <cfRule type="cellIs" dxfId="5986" priority="3833" operator="between">
      <formula>0.51</formula>
      <formula>0.75</formula>
    </cfRule>
    <cfRule type="cellIs" dxfId="5985" priority="3834" operator="greaterThan">
      <formula>1</formula>
    </cfRule>
    <cfRule type="cellIs" dxfId="5984" priority="3835" operator="between">
      <formula>0.95</formula>
      <formula>1</formula>
    </cfRule>
    <cfRule type="cellIs" dxfId="5983" priority="3836" stopIfTrue="1" operator="between">
      <formula>0</formula>
      <formula>0.5</formula>
    </cfRule>
  </conditionalFormatting>
  <conditionalFormatting sqref="Z31">
    <cfRule type="cellIs" dxfId="5982" priority="3827" operator="between">
      <formula>0.76</formula>
      <formula>0.95</formula>
    </cfRule>
    <cfRule type="cellIs" dxfId="5981" priority="3828" operator="between">
      <formula>0.51</formula>
      <formula>0.75</formula>
    </cfRule>
    <cfRule type="cellIs" dxfId="5980" priority="3829" operator="greaterThan">
      <formula>1</formula>
    </cfRule>
    <cfRule type="cellIs" dxfId="5979" priority="3830" operator="between">
      <formula>0.95</formula>
      <formula>1</formula>
    </cfRule>
    <cfRule type="cellIs" dxfId="5978" priority="3831" stopIfTrue="1" operator="between">
      <formula>0</formula>
      <formula>0.5</formula>
    </cfRule>
  </conditionalFormatting>
  <conditionalFormatting sqref="AC31">
    <cfRule type="cellIs" dxfId="5977" priority="3822" operator="between">
      <formula>0.56251</formula>
      <formula>0.7125</formula>
    </cfRule>
    <cfRule type="cellIs" dxfId="5976" priority="3823" operator="between">
      <formula>0.3751</formula>
      <formula>0.5625</formula>
    </cfRule>
    <cfRule type="cellIs" dxfId="5975" priority="3824" operator="greaterThan">
      <formula>0.751</formula>
    </cfRule>
    <cfRule type="cellIs" dxfId="5974" priority="3825" operator="between">
      <formula>0.71251</formula>
      <formula>0.75</formula>
    </cfRule>
    <cfRule type="cellIs" dxfId="5973" priority="3826" stopIfTrue="1" operator="between">
      <formula>0</formula>
      <formula>0.375</formula>
    </cfRule>
  </conditionalFormatting>
  <conditionalFormatting sqref="S31">
    <cfRule type="cellIs" dxfId="5972" priority="3817" operator="between">
      <formula>0.76</formula>
      <formula>0.95</formula>
    </cfRule>
    <cfRule type="cellIs" dxfId="5971" priority="3818" operator="between">
      <formula>0.51</formula>
      <formula>0.75</formula>
    </cfRule>
    <cfRule type="cellIs" dxfId="5970" priority="3819" operator="greaterThan">
      <formula>1</formula>
    </cfRule>
    <cfRule type="cellIs" dxfId="5969" priority="3820" operator="between">
      <formula>0.95</formula>
      <formula>1</formula>
    </cfRule>
    <cfRule type="cellIs" dxfId="5968" priority="3821" stopIfTrue="1" operator="between">
      <formula>0</formula>
      <formula>0.5</formula>
    </cfRule>
  </conditionalFormatting>
  <conditionalFormatting sqref="V31">
    <cfRule type="cellIs" dxfId="5967" priority="3812" operator="between">
      <formula>0.376</formula>
      <formula>0.475</formula>
    </cfRule>
    <cfRule type="cellIs" dxfId="5966" priority="3813" operator="between">
      <formula>0.2551</formula>
      <formula>0.3751</formula>
    </cfRule>
    <cfRule type="cellIs" dxfId="5965" priority="3814" operator="greaterThan">
      <formula>0.505</formula>
    </cfRule>
    <cfRule type="cellIs" dxfId="5964" priority="3815" operator="between">
      <formula>0.48</formula>
      <formula>0.5</formula>
    </cfRule>
    <cfRule type="cellIs" dxfId="5963" priority="3816" stopIfTrue="1" operator="between">
      <formula>0</formula>
      <formula>0.255</formula>
    </cfRule>
  </conditionalFormatting>
  <conditionalFormatting sqref="O31">
    <cfRule type="cellIs" dxfId="5962" priority="3802" operator="between">
      <formula>0.1876</formula>
      <formula>0.2375</formula>
    </cfRule>
    <cfRule type="cellIs" dxfId="5961" priority="3803" operator="between">
      <formula>0.1251</formula>
      <formula>0.1875</formula>
    </cfRule>
    <cfRule type="cellIs" dxfId="5960" priority="3804" operator="greaterThan">
      <formula>0.25</formula>
    </cfRule>
    <cfRule type="cellIs" dxfId="5959" priority="3805" operator="between">
      <formula>0.2376</formula>
      <formula>0.25</formula>
    </cfRule>
    <cfRule type="cellIs" dxfId="5958" priority="3806" stopIfTrue="1" operator="between">
      <formula>0</formula>
      <formula>0.125</formula>
    </cfRule>
  </conditionalFormatting>
  <conditionalFormatting sqref="M31">
    <cfRule type="cellIs" dxfId="5957" priority="3797" operator="between">
      <formula>0.1876</formula>
      <formula>0.2375</formula>
    </cfRule>
    <cfRule type="cellIs" dxfId="5956" priority="3798" operator="between">
      <formula>0.1251</formula>
      <formula>0.1875</formula>
    </cfRule>
    <cfRule type="cellIs" dxfId="5955" priority="3799" operator="greaterThan">
      <formula>0.25</formula>
    </cfRule>
    <cfRule type="cellIs" dxfId="5954" priority="3800" operator="between">
      <formula>0.2375</formula>
      <formula>0.25</formula>
    </cfRule>
    <cfRule type="cellIs" dxfId="5953" priority="3801" stopIfTrue="1" operator="between">
      <formula>0</formula>
      <formula>0.125</formula>
    </cfRule>
  </conditionalFormatting>
  <conditionalFormatting sqref="K31">
    <cfRule type="cellIs" dxfId="5952" priority="3792" operator="between">
      <formula>0.76</formula>
      <formula>0.95</formula>
    </cfRule>
    <cfRule type="cellIs" dxfId="5951" priority="3793" operator="between">
      <formula>0.51</formula>
      <formula>0.75</formula>
    </cfRule>
    <cfRule type="cellIs" dxfId="5950" priority="3794" operator="greaterThan">
      <formula>1</formula>
    </cfRule>
    <cfRule type="cellIs" dxfId="5949" priority="3795" operator="between">
      <formula>0.96</formula>
      <formula>1</formula>
    </cfRule>
    <cfRule type="cellIs" dxfId="5948" priority="3796" stopIfTrue="1" operator="between">
      <formula>0</formula>
      <formula>0.5</formula>
    </cfRule>
  </conditionalFormatting>
  <conditionalFormatting sqref="L31">
    <cfRule type="cellIs" dxfId="5947" priority="3787" operator="between">
      <formula>0.76</formula>
      <formula>0.95</formula>
    </cfRule>
    <cfRule type="cellIs" dxfId="5946" priority="3788" operator="between">
      <formula>0.51</formula>
      <formula>0.75</formula>
    </cfRule>
    <cfRule type="cellIs" dxfId="5945" priority="3789" operator="greaterThan">
      <formula>1</formula>
    </cfRule>
    <cfRule type="cellIs" dxfId="5944" priority="3790" operator="between">
      <formula>0.96</formula>
      <formula>1</formula>
    </cfRule>
    <cfRule type="cellIs" dxfId="5943" priority="3791" stopIfTrue="1" operator="between">
      <formula>0</formula>
      <formula>0.5</formula>
    </cfRule>
  </conditionalFormatting>
  <conditionalFormatting sqref="AF170:AG170 Y170:Z170 R170:S170">
    <cfRule type="cellIs" dxfId="5942" priority="3782" operator="between">
      <formula>0.76</formula>
      <formula>0.95</formula>
    </cfRule>
    <cfRule type="cellIs" dxfId="5941" priority="3783" operator="between">
      <formula>0.51</formula>
      <formula>0.75</formula>
    </cfRule>
    <cfRule type="cellIs" dxfId="5940" priority="3784" operator="greaterThan">
      <formula>1</formula>
    </cfRule>
    <cfRule type="cellIs" dxfId="5939" priority="3785" operator="between">
      <formula>0.96</formula>
      <formula>1</formula>
    </cfRule>
    <cfRule type="cellIs" dxfId="5938" priority="3786" stopIfTrue="1" operator="between">
      <formula>0</formula>
      <formula>0.5</formula>
    </cfRule>
  </conditionalFormatting>
  <conditionalFormatting sqref="AG170">
    <cfRule type="cellIs" dxfId="5937" priority="3745" operator="between">
      <formula>0.76</formula>
      <formula>0.95</formula>
    </cfRule>
    <cfRule type="cellIs" dxfId="5936" priority="3746" operator="between">
      <formula>0.51</formula>
      <formula>0.75</formula>
    </cfRule>
    <cfRule type="cellIs" dxfId="5935" priority="3747" operator="greaterThan">
      <formula>1</formula>
    </cfRule>
    <cfRule type="cellIs" dxfId="5934" priority="3748" operator="between">
      <formula>0.95</formula>
      <formula>1</formula>
    </cfRule>
    <cfRule type="cellIs" dxfId="5933" priority="3749" stopIfTrue="1" operator="between">
      <formula>0</formula>
      <formula>0.5</formula>
    </cfRule>
  </conditionalFormatting>
  <conditionalFormatting sqref="Y269:Z269 AF269:AI269 R269">
    <cfRule type="cellIs" dxfId="5932" priority="3740" operator="between">
      <formula>0.76</formula>
      <formula>0.95</formula>
    </cfRule>
    <cfRule type="cellIs" dxfId="5931" priority="3741" operator="between">
      <formula>0.51</formula>
      <formula>0.75</formula>
    </cfRule>
    <cfRule type="cellIs" dxfId="5930" priority="3742" operator="greaterThan">
      <formula>1</formula>
    </cfRule>
    <cfRule type="cellIs" dxfId="5929" priority="3743" operator="between">
      <formula>0.95</formula>
      <formula>1</formula>
    </cfRule>
    <cfRule type="cellIs" dxfId="5928" priority="3744" stopIfTrue="1" operator="between">
      <formula>0</formula>
      <formula>0.5</formula>
    </cfRule>
  </conditionalFormatting>
  <conditionalFormatting sqref="T269">
    <cfRule type="cellIs" dxfId="5927" priority="3735" operator="between">
      <formula>0.3751</formula>
      <formula>0.475</formula>
    </cfRule>
    <cfRule type="cellIs" dxfId="5926" priority="3736" operator="between">
      <formula>0.2551</formula>
      <formula>0.375</formula>
    </cfRule>
    <cfRule type="cellIs" dxfId="5925" priority="3737" operator="greaterThan">
      <formula>0.505</formula>
    </cfRule>
    <cfRule type="cellIs" dxfId="5924" priority="3738" operator="between">
      <formula>0.48</formula>
      <formula>0.5</formula>
    </cfRule>
    <cfRule type="cellIs" dxfId="5923" priority="3739" stopIfTrue="1" operator="between">
      <formula>0</formula>
      <formula>0.255</formula>
    </cfRule>
  </conditionalFormatting>
  <conditionalFormatting sqref="AA269:AC269">
    <cfRule type="cellIs" dxfId="5922" priority="3730" operator="between">
      <formula>0.56251</formula>
      <formula>0.7125</formula>
    </cfRule>
    <cfRule type="cellIs" dxfId="5921" priority="3731" operator="between">
      <formula>0.3751</formula>
      <formula>0.5625</formula>
    </cfRule>
    <cfRule type="cellIs" dxfId="5920" priority="3732" operator="greaterThan">
      <formula>0.751</formula>
    </cfRule>
    <cfRule type="cellIs" dxfId="5919" priority="3733" operator="between">
      <formula>0.71251</formula>
      <formula>0.75</formula>
    </cfRule>
    <cfRule type="cellIs" dxfId="5918" priority="3734" stopIfTrue="1" operator="between">
      <formula>0</formula>
      <formula>0.375</formula>
    </cfRule>
  </conditionalFormatting>
  <conditionalFormatting sqref="U269">
    <cfRule type="cellIs" dxfId="5917" priority="3725" operator="between">
      <formula>0.376</formula>
      <formula>0.475</formula>
    </cfRule>
    <cfRule type="cellIs" dxfId="5916" priority="3726" operator="between">
      <formula>0.2551</formula>
      <formula>0.3751</formula>
    </cfRule>
    <cfRule type="cellIs" dxfId="5915" priority="3727" operator="greaterThan">
      <formula>0.505</formula>
    </cfRule>
    <cfRule type="cellIs" dxfId="5914" priority="3728" operator="between">
      <formula>0.48</formula>
      <formula>0.5</formula>
    </cfRule>
    <cfRule type="cellIs" dxfId="5913" priority="3729" stopIfTrue="1" operator="between">
      <formula>0</formula>
      <formula>0.255</formula>
    </cfRule>
  </conditionalFormatting>
  <conditionalFormatting sqref="S269">
    <cfRule type="cellIs" dxfId="5912" priority="3720" operator="between">
      <formula>0.76</formula>
      <formula>0.95</formula>
    </cfRule>
    <cfRule type="cellIs" dxfId="5911" priority="3721" operator="between">
      <formula>0.51</formula>
      <formula>0.75</formula>
    </cfRule>
    <cfRule type="cellIs" dxfId="5910" priority="3722" operator="greaterThan">
      <formula>1</formula>
    </cfRule>
    <cfRule type="cellIs" dxfId="5909" priority="3723" operator="between">
      <formula>0.95</formula>
      <formula>1</formula>
    </cfRule>
    <cfRule type="cellIs" dxfId="5908" priority="3724" stopIfTrue="1" operator="between">
      <formula>0</formula>
      <formula>0.5</formula>
    </cfRule>
  </conditionalFormatting>
  <conditionalFormatting sqref="V269">
    <cfRule type="cellIs" dxfId="5907" priority="3715" operator="between">
      <formula>0.376</formula>
      <formula>0.475</formula>
    </cfRule>
    <cfRule type="cellIs" dxfId="5906" priority="3716" operator="between">
      <formula>0.2551</formula>
      <formula>0.3751</formula>
    </cfRule>
    <cfRule type="cellIs" dxfId="5905" priority="3717" operator="greaterThan">
      <formula>0.505</formula>
    </cfRule>
    <cfRule type="cellIs" dxfId="5904" priority="3718" operator="between">
      <formula>0.48</formula>
      <formula>0.5</formula>
    </cfRule>
    <cfRule type="cellIs" dxfId="5903" priority="3719" stopIfTrue="1" operator="between">
      <formula>0</formula>
      <formula>0.255</formula>
    </cfRule>
  </conditionalFormatting>
  <conditionalFormatting sqref="AF89 R89 Y89 AH89:AI89">
    <cfRule type="cellIs" dxfId="5902" priority="3701" operator="between">
      <formula>0.76</formula>
      <formula>0.95</formula>
    </cfRule>
    <cfRule type="cellIs" dxfId="5901" priority="3702" operator="between">
      <formula>0.51</formula>
      <formula>0.75</formula>
    </cfRule>
    <cfRule type="cellIs" dxfId="5900" priority="3703" operator="greaterThan">
      <formula>1</formula>
    </cfRule>
    <cfRule type="cellIs" dxfId="5899" priority="3704" operator="between">
      <formula>0.95</formula>
      <formula>1</formula>
    </cfRule>
    <cfRule type="cellIs" dxfId="5898" priority="3705" stopIfTrue="1" operator="between">
      <formula>0</formula>
      <formula>0.5</formula>
    </cfRule>
  </conditionalFormatting>
  <conditionalFormatting sqref="T89">
    <cfRule type="cellIs" dxfId="5897" priority="3696" operator="between">
      <formula>0.3751</formula>
      <formula>0.475</formula>
    </cfRule>
    <cfRule type="cellIs" dxfId="5896" priority="3697" operator="between">
      <formula>0.2551</formula>
      <formula>0.375</formula>
    </cfRule>
    <cfRule type="cellIs" dxfId="5895" priority="3698" operator="greaterThan">
      <formula>0.505</formula>
    </cfRule>
    <cfRule type="cellIs" dxfId="5894" priority="3699" operator="between">
      <formula>0.48</formula>
      <formula>0.5</formula>
    </cfRule>
    <cfRule type="cellIs" dxfId="5893" priority="3700" stopIfTrue="1" operator="between">
      <formula>0</formula>
      <formula>0.255</formula>
    </cfRule>
  </conditionalFormatting>
  <conditionalFormatting sqref="AA89:AB89">
    <cfRule type="cellIs" dxfId="5892" priority="3691" operator="between">
      <formula>0.56251</formula>
      <formula>0.7125</formula>
    </cfRule>
    <cfRule type="cellIs" dxfId="5891" priority="3692" operator="between">
      <formula>0.3751</formula>
      <formula>0.5625</formula>
    </cfRule>
    <cfRule type="cellIs" dxfId="5890" priority="3693" operator="greaterThan">
      <formula>0.751</formula>
    </cfRule>
    <cfRule type="cellIs" dxfId="5889" priority="3694" operator="between">
      <formula>0.71251</formula>
      <formula>0.75</formula>
    </cfRule>
    <cfRule type="cellIs" dxfId="5888" priority="3695" stopIfTrue="1" operator="between">
      <formula>0</formula>
      <formula>0.375</formula>
    </cfRule>
  </conditionalFormatting>
  <conditionalFormatting sqref="U89">
    <cfRule type="cellIs" dxfId="5887" priority="3686" operator="between">
      <formula>0.376</formula>
      <formula>0.475</formula>
    </cfRule>
    <cfRule type="cellIs" dxfId="5886" priority="3687" operator="between">
      <formula>0.2551</formula>
      <formula>0.3751</formula>
    </cfRule>
    <cfRule type="cellIs" dxfId="5885" priority="3688" operator="greaterThan">
      <formula>0.505</formula>
    </cfRule>
    <cfRule type="cellIs" dxfId="5884" priority="3689" operator="between">
      <formula>0.48</formula>
      <formula>0.5</formula>
    </cfRule>
    <cfRule type="cellIs" dxfId="5883" priority="3690" stopIfTrue="1" operator="between">
      <formula>0</formula>
      <formula>0.255</formula>
    </cfRule>
  </conditionalFormatting>
  <conditionalFormatting sqref="Z89">
    <cfRule type="cellIs" dxfId="5882" priority="3669" operator="between">
      <formula>0.76</formula>
      <formula>0.95</formula>
    </cfRule>
    <cfRule type="cellIs" dxfId="5881" priority="3670" operator="between">
      <formula>0.51</formula>
      <formula>0.75</formula>
    </cfRule>
    <cfRule type="cellIs" dxfId="5880" priority="3671" operator="greaterThan">
      <formula>1</formula>
    </cfRule>
    <cfRule type="cellIs" dxfId="5879" priority="3672" operator="between">
      <formula>0.95</formula>
      <formula>1</formula>
    </cfRule>
    <cfRule type="cellIs" dxfId="5878" priority="3673" stopIfTrue="1" operator="between">
      <formula>0</formula>
      <formula>0.5</formula>
    </cfRule>
  </conditionalFormatting>
  <conditionalFormatting sqref="AC89">
    <cfRule type="cellIs" dxfId="5877" priority="3664" operator="between">
      <formula>0.56251</formula>
      <formula>0.7125</formula>
    </cfRule>
    <cfRule type="cellIs" dxfId="5876" priority="3665" operator="between">
      <formula>0.3751</formula>
      <formula>0.5625</formula>
    </cfRule>
    <cfRule type="cellIs" dxfId="5875" priority="3666" operator="greaterThan">
      <formula>0.751</formula>
    </cfRule>
    <cfRule type="cellIs" dxfId="5874" priority="3667" operator="between">
      <formula>0.71251</formula>
      <formula>0.75</formula>
    </cfRule>
    <cfRule type="cellIs" dxfId="5873" priority="3668" stopIfTrue="1" operator="between">
      <formula>0</formula>
      <formula>0.375</formula>
    </cfRule>
  </conditionalFormatting>
  <conditionalFormatting sqref="S89">
    <cfRule type="cellIs" dxfId="5872" priority="3659" operator="between">
      <formula>0.76</formula>
      <formula>0.95</formula>
    </cfRule>
    <cfRule type="cellIs" dxfId="5871" priority="3660" operator="between">
      <formula>0.51</formula>
      <formula>0.75</formula>
    </cfRule>
    <cfRule type="cellIs" dxfId="5870" priority="3661" operator="greaterThan">
      <formula>1</formula>
    </cfRule>
    <cfRule type="cellIs" dxfId="5869" priority="3662" operator="between">
      <formula>0.95</formula>
      <formula>1</formula>
    </cfRule>
    <cfRule type="cellIs" dxfId="5868" priority="3663" stopIfTrue="1" operator="between">
      <formula>0</formula>
      <formula>0.5</formula>
    </cfRule>
  </conditionalFormatting>
  <conditionalFormatting sqref="V89">
    <cfRule type="cellIs" dxfId="5867" priority="3654" operator="between">
      <formula>0.376</formula>
      <formula>0.475</formula>
    </cfRule>
    <cfRule type="cellIs" dxfId="5866" priority="3655" operator="between">
      <formula>0.2551</formula>
      <formula>0.3751</formula>
    </cfRule>
    <cfRule type="cellIs" dxfId="5865" priority="3656" operator="greaterThan">
      <formula>0.505</formula>
    </cfRule>
    <cfRule type="cellIs" dxfId="5864" priority="3657" operator="between">
      <formula>0.48</formula>
      <formula>0.5</formula>
    </cfRule>
    <cfRule type="cellIs" dxfId="5863" priority="3658" stopIfTrue="1" operator="between">
      <formula>0</formula>
      <formula>0.255</formula>
    </cfRule>
  </conditionalFormatting>
  <conditionalFormatting sqref="AG89">
    <cfRule type="cellIs" dxfId="5862" priority="3649" operator="between">
      <formula>0.76</formula>
      <formula>0.95</formula>
    </cfRule>
    <cfRule type="cellIs" dxfId="5861" priority="3650" operator="between">
      <formula>0.51</formula>
      <formula>0.75</formula>
    </cfRule>
    <cfRule type="cellIs" dxfId="5860" priority="3651" operator="greaterThan">
      <formula>1</formula>
    </cfRule>
    <cfRule type="cellIs" dxfId="5859" priority="3652" operator="between">
      <formula>0.95</formula>
      <formula>1</formula>
    </cfRule>
    <cfRule type="cellIs" dxfId="5858" priority="3653" stopIfTrue="1" operator="between">
      <formula>0</formula>
      <formula>0.5</formula>
    </cfRule>
  </conditionalFormatting>
  <conditionalFormatting sqref="Z120">
    <cfRule type="cellIs" dxfId="5857" priority="3091" operator="between">
      <formula>0.76</formula>
      <formula>0.95</formula>
    </cfRule>
    <cfRule type="cellIs" dxfId="5856" priority="3092" operator="between">
      <formula>0.51</formula>
      <formula>0.75</formula>
    </cfRule>
    <cfRule type="cellIs" dxfId="5855" priority="3093" operator="greaterThan">
      <formula>1</formula>
    </cfRule>
    <cfRule type="cellIs" dxfId="5854" priority="3094" operator="between">
      <formula>0.95</formula>
      <formula>1</formula>
    </cfRule>
    <cfRule type="cellIs" dxfId="5853" priority="3095" stopIfTrue="1" operator="between">
      <formula>0</formula>
      <formula>0.5</formula>
    </cfRule>
  </conditionalFormatting>
  <conditionalFormatting sqref="AI353">
    <cfRule type="cellIs" dxfId="5852" priority="3281" operator="between">
      <formula>0.76</formula>
      <formula>0.95</formula>
    </cfRule>
    <cfRule type="cellIs" dxfId="5851" priority="3282" operator="between">
      <formula>0.51</formula>
      <formula>0.75</formula>
    </cfRule>
    <cfRule type="cellIs" dxfId="5850" priority="3283" operator="greaterThan">
      <formula>1</formula>
    </cfRule>
    <cfRule type="cellIs" dxfId="5849" priority="3284" operator="between">
      <formula>0.95</formula>
      <formula>1</formula>
    </cfRule>
    <cfRule type="cellIs" dxfId="5848" priority="3285" stopIfTrue="1" operator="between">
      <formula>0</formula>
      <formula>0.5</formula>
    </cfRule>
  </conditionalFormatting>
  <conditionalFormatting sqref="R353">
    <cfRule type="cellIs" dxfId="5847" priority="3276" operator="between">
      <formula>0.76</formula>
      <formula>0.95</formula>
    </cfRule>
    <cfRule type="cellIs" dxfId="5846" priority="3277" operator="between">
      <formula>0.51</formula>
      <formula>0.75</formula>
    </cfRule>
    <cfRule type="cellIs" dxfId="5845" priority="3278" operator="greaterThan">
      <formula>1</formula>
    </cfRule>
    <cfRule type="cellIs" dxfId="5844" priority="3279" operator="between">
      <formula>0.95</formula>
      <formula>1</formula>
    </cfRule>
    <cfRule type="cellIs" dxfId="5843" priority="3280" stopIfTrue="1" operator="between">
      <formula>0</formula>
      <formula>0.5</formula>
    </cfRule>
  </conditionalFormatting>
  <conditionalFormatting sqref="Y353">
    <cfRule type="cellIs" dxfId="5842" priority="3271" operator="between">
      <formula>0.76</formula>
      <formula>0.95</formula>
    </cfRule>
    <cfRule type="cellIs" dxfId="5841" priority="3272" operator="between">
      <formula>0.51</formula>
      <formula>0.75</formula>
    </cfRule>
    <cfRule type="cellIs" dxfId="5840" priority="3273" operator="greaterThan">
      <formula>1</formula>
    </cfRule>
    <cfRule type="cellIs" dxfId="5839" priority="3274" operator="between">
      <formula>0.95</formula>
      <formula>1</formula>
    </cfRule>
    <cfRule type="cellIs" dxfId="5838" priority="3275" stopIfTrue="1" operator="between">
      <formula>0</formula>
      <formula>0.5</formula>
    </cfRule>
  </conditionalFormatting>
  <conditionalFormatting sqref="AF353">
    <cfRule type="cellIs" dxfId="5837" priority="3266" operator="between">
      <formula>0.76</formula>
      <formula>0.95</formula>
    </cfRule>
    <cfRule type="cellIs" dxfId="5836" priority="3267" operator="between">
      <formula>0.51</formula>
      <formula>0.75</formula>
    </cfRule>
    <cfRule type="cellIs" dxfId="5835" priority="3268" operator="greaterThan">
      <formula>1</formula>
    </cfRule>
    <cfRule type="cellIs" dxfId="5834" priority="3269" operator="between">
      <formula>0.95</formula>
      <formula>1</formula>
    </cfRule>
    <cfRule type="cellIs" dxfId="5833" priority="3270" stopIfTrue="1" operator="between">
      <formula>0</formula>
      <formula>0.5</formula>
    </cfRule>
  </conditionalFormatting>
  <conditionalFormatting sqref="AH353">
    <cfRule type="cellIs" dxfId="5832" priority="3261" operator="between">
      <formula>0.76</formula>
      <formula>0.95</formula>
    </cfRule>
    <cfRule type="cellIs" dxfId="5831" priority="3262" operator="between">
      <formula>0.51</formula>
      <formula>0.75</formula>
    </cfRule>
    <cfRule type="cellIs" dxfId="5830" priority="3263" operator="greaterThan">
      <formula>1</formula>
    </cfRule>
    <cfRule type="cellIs" dxfId="5829" priority="3264" operator="between">
      <formula>0.95</formula>
      <formula>1</formula>
    </cfRule>
    <cfRule type="cellIs" dxfId="5828" priority="3265" stopIfTrue="1" operator="between">
      <formula>0</formula>
      <formula>0.5</formula>
    </cfRule>
  </conditionalFormatting>
  <conditionalFormatting sqref="T353">
    <cfRule type="cellIs" dxfId="5827" priority="3256" operator="between">
      <formula>0.3751</formula>
      <formula>0.475</formula>
    </cfRule>
    <cfRule type="cellIs" dxfId="5826" priority="3257" operator="between">
      <formula>0.2551</formula>
      <formula>0.375</formula>
    </cfRule>
    <cfRule type="cellIs" dxfId="5825" priority="3258" operator="greaterThan">
      <formula>0.505</formula>
    </cfRule>
    <cfRule type="cellIs" dxfId="5824" priority="3259" operator="between">
      <formula>0.48</formula>
      <formula>0.5</formula>
    </cfRule>
    <cfRule type="cellIs" dxfId="5823" priority="3260" stopIfTrue="1" operator="between">
      <formula>0</formula>
      <formula>0.255</formula>
    </cfRule>
  </conditionalFormatting>
  <conditionalFormatting sqref="U353">
    <cfRule type="cellIs" dxfId="5822" priority="3251" operator="between">
      <formula>0.376</formula>
      <formula>0.475</formula>
    </cfRule>
    <cfRule type="cellIs" dxfId="5821" priority="3252" operator="between">
      <formula>0.2551</formula>
      <formula>0.3751</formula>
    </cfRule>
    <cfRule type="cellIs" dxfId="5820" priority="3253" operator="greaterThan">
      <formula>0.505</formula>
    </cfRule>
    <cfRule type="cellIs" dxfId="5819" priority="3254" operator="between">
      <formula>0.48</formula>
      <formula>0.5</formula>
    </cfRule>
    <cfRule type="cellIs" dxfId="5818" priority="3255" stopIfTrue="1" operator="between">
      <formula>0</formula>
      <formula>0.255</formula>
    </cfRule>
  </conditionalFormatting>
  <conditionalFormatting sqref="AA353">
    <cfRule type="cellIs" dxfId="5817" priority="3246" operator="between">
      <formula>0.56251</formula>
      <formula>0.7125</formula>
    </cfRule>
    <cfRule type="cellIs" dxfId="5816" priority="3247" operator="between">
      <formula>0.3751</formula>
      <formula>0.5625</formula>
    </cfRule>
    <cfRule type="cellIs" dxfId="5815" priority="3248" operator="greaterThan">
      <formula>0.751</formula>
    </cfRule>
    <cfRule type="cellIs" dxfId="5814" priority="3249" operator="between">
      <formula>0.71251</formula>
      <formula>0.75</formula>
    </cfRule>
    <cfRule type="cellIs" dxfId="5813" priority="3250" stopIfTrue="1" operator="between">
      <formula>0</formula>
      <formula>0.375</formula>
    </cfRule>
  </conditionalFormatting>
  <conditionalFormatting sqref="AC353">
    <cfRule type="cellIs" dxfId="5812" priority="3241" operator="between">
      <formula>0.56251</formula>
      <formula>0.7125</formula>
    </cfRule>
    <cfRule type="cellIs" dxfId="5811" priority="3242" operator="between">
      <formula>0.3751</formula>
      <formula>0.5625</formula>
    </cfRule>
    <cfRule type="cellIs" dxfId="5810" priority="3243" operator="greaterThan">
      <formula>0.751</formula>
    </cfRule>
    <cfRule type="cellIs" dxfId="5809" priority="3244" operator="between">
      <formula>0.71251</formula>
      <formula>0.75</formula>
    </cfRule>
    <cfRule type="cellIs" dxfId="5808" priority="3245" stopIfTrue="1" operator="between">
      <formula>0</formula>
      <formula>0.375</formula>
    </cfRule>
  </conditionalFormatting>
  <conditionalFormatting sqref="AB353">
    <cfRule type="cellIs" dxfId="5807" priority="3236" operator="between">
      <formula>0.56251</formula>
      <formula>0.7125</formula>
    </cfRule>
    <cfRule type="cellIs" dxfId="5806" priority="3237" operator="between">
      <formula>0.3751</formula>
      <formula>0.5625</formula>
    </cfRule>
    <cfRule type="cellIs" dxfId="5805" priority="3238" operator="greaterThan">
      <formula>0.751</formula>
    </cfRule>
    <cfRule type="cellIs" dxfId="5804" priority="3239" operator="between">
      <formula>0.71251</formula>
      <formula>0.75</formula>
    </cfRule>
    <cfRule type="cellIs" dxfId="5803" priority="3240" stopIfTrue="1" operator="between">
      <formula>0</formula>
      <formula>0.375</formula>
    </cfRule>
  </conditionalFormatting>
  <conditionalFormatting sqref="Z353">
    <cfRule type="cellIs" dxfId="5802" priority="3231" operator="between">
      <formula>0.76</formula>
      <formula>0.95</formula>
    </cfRule>
    <cfRule type="cellIs" dxfId="5801" priority="3232" operator="between">
      <formula>0.51</formula>
      <formula>0.75</formula>
    </cfRule>
    <cfRule type="cellIs" dxfId="5800" priority="3233" operator="greaterThan">
      <formula>1</formula>
    </cfRule>
    <cfRule type="cellIs" dxfId="5799" priority="3234" operator="between">
      <formula>0.95</formula>
      <formula>1</formula>
    </cfRule>
    <cfRule type="cellIs" dxfId="5798" priority="3235" stopIfTrue="1" operator="between">
      <formula>0</formula>
      <formula>0.5</formula>
    </cfRule>
  </conditionalFormatting>
  <conditionalFormatting sqref="S353">
    <cfRule type="cellIs" dxfId="5797" priority="3226" operator="between">
      <formula>0.76</formula>
      <formula>0.95</formula>
    </cfRule>
    <cfRule type="cellIs" dxfId="5796" priority="3227" operator="between">
      <formula>0.51</formula>
      <formula>0.75</formula>
    </cfRule>
    <cfRule type="cellIs" dxfId="5795" priority="3228" operator="greaterThan">
      <formula>1</formula>
    </cfRule>
    <cfRule type="cellIs" dxfId="5794" priority="3229" operator="between">
      <formula>0.95</formula>
      <formula>1</formula>
    </cfRule>
    <cfRule type="cellIs" dxfId="5793" priority="3230" stopIfTrue="1" operator="between">
      <formula>0</formula>
      <formula>0.5</formula>
    </cfRule>
  </conditionalFormatting>
  <conditionalFormatting sqref="V353">
    <cfRule type="cellIs" dxfId="5792" priority="3221" operator="between">
      <formula>0.376</formula>
      <formula>0.475</formula>
    </cfRule>
    <cfRule type="cellIs" dxfId="5791" priority="3222" operator="between">
      <formula>0.2551</formula>
      <formula>0.3751</formula>
    </cfRule>
    <cfRule type="cellIs" dxfId="5790" priority="3223" operator="greaterThan">
      <formula>0.505</formula>
    </cfRule>
    <cfRule type="cellIs" dxfId="5789" priority="3224" operator="between">
      <formula>0.48</formula>
      <formula>0.5</formula>
    </cfRule>
    <cfRule type="cellIs" dxfId="5788" priority="3225" stopIfTrue="1" operator="between">
      <formula>0</formula>
      <formula>0.255</formula>
    </cfRule>
  </conditionalFormatting>
  <conditionalFormatting sqref="AG353">
    <cfRule type="cellIs" dxfId="5787" priority="3216" operator="between">
      <formula>0.76</formula>
      <formula>0.95</formula>
    </cfRule>
    <cfRule type="cellIs" dxfId="5786" priority="3217" operator="between">
      <formula>0.51</formula>
      <formula>0.75</formula>
    </cfRule>
    <cfRule type="cellIs" dxfId="5785" priority="3218" operator="greaterThan">
      <formula>1</formula>
    </cfRule>
    <cfRule type="cellIs" dxfId="5784" priority="3219" operator="between">
      <formula>0.95</formula>
      <formula>1</formula>
    </cfRule>
    <cfRule type="cellIs" dxfId="5783" priority="3220" stopIfTrue="1" operator="between">
      <formula>0</formula>
      <formula>0.5</formula>
    </cfRule>
  </conditionalFormatting>
  <conditionalFormatting sqref="AI354">
    <cfRule type="cellIs" dxfId="5782" priority="3202" operator="between">
      <formula>0.76</formula>
      <formula>0.95</formula>
    </cfRule>
    <cfRule type="cellIs" dxfId="5781" priority="3203" operator="between">
      <formula>0.51</formula>
      <formula>0.75</formula>
    </cfRule>
    <cfRule type="cellIs" dxfId="5780" priority="3204" operator="greaterThan">
      <formula>1</formula>
    </cfRule>
    <cfRule type="cellIs" dxfId="5779" priority="3205" operator="between">
      <formula>0.95</formula>
      <formula>1</formula>
    </cfRule>
    <cfRule type="cellIs" dxfId="5778" priority="3206" stopIfTrue="1" operator="between">
      <formula>0</formula>
      <formula>0.5</formula>
    </cfRule>
  </conditionalFormatting>
  <conditionalFormatting sqref="R354">
    <cfRule type="cellIs" dxfId="5777" priority="3197" operator="between">
      <formula>0.76</formula>
      <formula>0.95</formula>
    </cfRule>
    <cfRule type="cellIs" dxfId="5776" priority="3198" operator="between">
      <formula>0.51</formula>
      <formula>0.75</formula>
    </cfRule>
    <cfRule type="cellIs" dxfId="5775" priority="3199" operator="greaterThan">
      <formula>1</formula>
    </cfRule>
    <cfRule type="cellIs" dxfId="5774" priority="3200" operator="between">
      <formula>0.95</formula>
      <formula>1</formula>
    </cfRule>
    <cfRule type="cellIs" dxfId="5773" priority="3201" stopIfTrue="1" operator="between">
      <formula>0</formula>
      <formula>0.5</formula>
    </cfRule>
  </conditionalFormatting>
  <conditionalFormatting sqref="Y354">
    <cfRule type="cellIs" dxfId="5772" priority="3192" operator="between">
      <formula>0.76</formula>
      <formula>0.95</formula>
    </cfRule>
    <cfRule type="cellIs" dxfId="5771" priority="3193" operator="between">
      <formula>0.51</formula>
      <formula>0.75</formula>
    </cfRule>
    <cfRule type="cellIs" dxfId="5770" priority="3194" operator="greaterThan">
      <formula>1</formula>
    </cfRule>
    <cfRule type="cellIs" dxfId="5769" priority="3195" operator="between">
      <formula>0.95</formula>
      <formula>1</formula>
    </cfRule>
    <cfRule type="cellIs" dxfId="5768" priority="3196" stopIfTrue="1" operator="between">
      <formula>0</formula>
      <formula>0.5</formula>
    </cfRule>
  </conditionalFormatting>
  <conditionalFormatting sqref="AF354">
    <cfRule type="cellIs" dxfId="5767" priority="3187" operator="between">
      <formula>0.76</formula>
      <formula>0.95</formula>
    </cfRule>
    <cfRule type="cellIs" dxfId="5766" priority="3188" operator="between">
      <formula>0.51</formula>
      <formula>0.75</formula>
    </cfRule>
    <cfRule type="cellIs" dxfId="5765" priority="3189" operator="greaterThan">
      <formula>1</formula>
    </cfRule>
    <cfRule type="cellIs" dxfId="5764" priority="3190" operator="between">
      <formula>0.95</formula>
      <formula>1</formula>
    </cfRule>
    <cfRule type="cellIs" dxfId="5763" priority="3191" stopIfTrue="1" operator="between">
      <formula>0</formula>
      <formula>0.5</formula>
    </cfRule>
  </conditionalFormatting>
  <conditionalFormatting sqref="AH354">
    <cfRule type="cellIs" dxfId="5762" priority="3182" operator="between">
      <formula>0.76</formula>
      <formula>0.95</formula>
    </cfRule>
    <cfRule type="cellIs" dxfId="5761" priority="3183" operator="between">
      <formula>0.51</formula>
      <formula>0.75</formula>
    </cfRule>
    <cfRule type="cellIs" dxfId="5760" priority="3184" operator="greaterThan">
      <formula>1</formula>
    </cfRule>
    <cfRule type="cellIs" dxfId="5759" priority="3185" operator="between">
      <formula>0.95</formula>
      <formula>1</formula>
    </cfRule>
    <cfRule type="cellIs" dxfId="5758" priority="3186" stopIfTrue="1" operator="between">
      <formula>0</formula>
      <formula>0.5</formula>
    </cfRule>
  </conditionalFormatting>
  <conditionalFormatting sqref="T354">
    <cfRule type="cellIs" dxfId="5757" priority="3177" operator="between">
      <formula>0.3751</formula>
      <formula>0.475</formula>
    </cfRule>
    <cfRule type="cellIs" dxfId="5756" priority="3178" operator="between">
      <formula>0.2551</formula>
      <formula>0.375</formula>
    </cfRule>
    <cfRule type="cellIs" dxfId="5755" priority="3179" operator="greaterThan">
      <formula>0.505</formula>
    </cfRule>
    <cfRule type="cellIs" dxfId="5754" priority="3180" operator="between">
      <formula>0.48</formula>
      <formula>0.5</formula>
    </cfRule>
    <cfRule type="cellIs" dxfId="5753" priority="3181" stopIfTrue="1" operator="between">
      <formula>0</formula>
      <formula>0.255</formula>
    </cfRule>
  </conditionalFormatting>
  <conditionalFormatting sqref="U354">
    <cfRule type="cellIs" dxfId="5752" priority="3172" operator="between">
      <formula>0.376</formula>
      <formula>0.475</formula>
    </cfRule>
    <cfRule type="cellIs" dxfId="5751" priority="3173" operator="between">
      <formula>0.2551</formula>
      <formula>0.3751</formula>
    </cfRule>
    <cfRule type="cellIs" dxfId="5750" priority="3174" operator="greaterThan">
      <formula>0.505</formula>
    </cfRule>
    <cfRule type="cellIs" dxfId="5749" priority="3175" operator="between">
      <formula>0.48</formula>
      <formula>0.5</formula>
    </cfRule>
    <cfRule type="cellIs" dxfId="5748" priority="3176" stopIfTrue="1" operator="between">
      <formula>0</formula>
      <formula>0.255</formula>
    </cfRule>
  </conditionalFormatting>
  <conditionalFormatting sqref="AA354">
    <cfRule type="cellIs" dxfId="5747" priority="3167" operator="between">
      <formula>0.56251</formula>
      <formula>0.7125</formula>
    </cfRule>
    <cfRule type="cellIs" dxfId="5746" priority="3168" operator="between">
      <formula>0.3751</formula>
      <formula>0.5625</formula>
    </cfRule>
    <cfRule type="cellIs" dxfId="5745" priority="3169" operator="greaterThan">
      <formula>0.751</formula>
    </cfRule>
    <cfRule type="cellIs" dxfId="5744" priority="3170" operator="between">
      <formula>0.71251</formula>
      <formula>0.75</formula>
    </cfRule>
    <cfRule type="cellIs" dxfId="5743" priority="3171" stopIfTrue="1" operator="between">
      <formula>0</formula>
      <formula>0.375</formula>
    </cfRule>
  </conditionalFormatting>
  <conditionalFormatting sqref="AC354">
    <cfRule type="cellIs" dxfId="5742" priority="3162" operator="between">
      <formula>0.56251</formula>
      <formula>0.7125</formula>
    </cfRule>
    <cfRule type="cellIs" dxfId="5741" priority="3163" operator="between">
      <formula>0.3751</formula>
      <formula>0.5625</formula>
    </cfRule>
    <cfRule type="cellIs" dxfId="5740" priority="3164" operator="greaterThan">
      <formula>0.751</formula>
    </cfRule>
    <cfRule type="cellIs" dxfId="5739" priority="3165" operator="between">
      <formula>0.71251</formula>
      <formula>0.75</formula>
    </cfRule>
    <cfRule type="cellIs" dxfId="5738" priority="3166" stopIfTrue="1" operator="between">
      <formula>0</formula>
      <formula>0.375</formula>
    </cfRule>
  </conditionalFormatting>
  <conditionalFormatting sqref="AB354">
    <cfRule type="cellIs" dxfId="5737" priority="3157" operator="between">
      <formula>0.56251</formula>
      <formula>0.7125</formula>
    </cfRule>
    <cfRule type="cellIs" dxfId="5736" priority="3158" operator="between">
      <formula>0.3751</formula>
      <formula>0.5625</formula>
    </cfRule>
    <cfRule type="cellIs" dxfId="5735" priority="3159" operator="greaterThan">
      <formula>0.751</formula>
    </cfRule>
    <cfRule type="cellIs" dxfId="5734" priority="3160" operator="between">
      <formula>0.71251</formula>
      <formula>0.75</formula>
    </cfRule>
    <cfRule type="cellIs" dxfId="5733" priority="3161" stopIfTrue="1" operator="between">
      <formula>0</formula>
      <formula>0.375</formula>
    </cfRule>
  </conditionalFormatting>
  <conditionalFormatting sqref="Z354">
    <cfRule type="cellIs" dxfId="5732" priority="3152" operator="between">
      <formula>0.76</formula>
      <formula>0.95</formula>
    </cfRule>
    <cfRule type="cellIs" dxfId="5731" priority="3153" operator="between">
      <formula>0.51</formula>
      <formula>0.75</formula>
    </cfRule>
    <cfRule type="cellIs" dxfId="5730" priority="3154" operator="greaterThan">
      <formula>1</formula>
    </cfRule>
    <cfRule type="cellIs" dxfId="5729" priority="3155" operator="between">
      <formula>0.95</formula>
      <formula>1</formula>
    </cfRule>
    <cfRule type="cellIs" dxfId="5728" priority="3156" stopIfTrue="1" operator="between">
      <formula>0</formula>
      <formula>0.5</formula>
    </cfRule>
  </conditionalFormatting>
  <conditionalFormatting sqref="S354">
    <cfRule type="cellIs" dxfId="5727" priority="3147" operator="between">
      <formula>0.76</formula>
      <formula>0.95</formula>
    </cfRule>
    <cfRule type="cellIs" dxfId="5726" priority="3148" operator="between">
      <formula>0.51</formula>
      <formula>0.75</formula>
    </cfRule>
    <cfRule type="cellIs" dxfId="5725" priority="3149" operator="greaterThan">
      <formula>1</formula>
    </cfRule>
    <cfRule type="cellIs" dxfId="5724" priority="3150" operator="between">
      <formula>0.95</formula>
      <formula>1</formula>
    </cfRule>
    <cfRule type="cellIs" dxfId="5723" priority="3151" stopIfTrue="1" operator="between">
      <formula>0</formula>
      <formula>0.5</formula>
    </cfRule>
  </conditionalFormatting>
  <conditionalFormatting sqref="V354">
    <cfRule type="cellIs" dxfId="5722" priority="3142" operator="between">
      <formula>0.376</formula>
      <formula>0.475</formula>
    </cfRule>
    <cfRule type="cellIs" dxfId="5721" priority="3143" operator="between">
      <formula>0.2551</formula>
      <formula>0.3751</formula>
    </cfRule>
    <cfRule type="cellIs" dxfId="5720" priority="3144" operator="greaterThan">
      <formula>0.505</formula>
    </cfRule>
    <cfRule type="cellIs" dxfId="5719" priority="3145" operator="between">
      <formula>0.48</formula>
      <formula>0.5</formula>
    </cfRule>
    <cfRule type="cellIs" dxfId="5718" priority="3146" stopIfTrue="1" operator="between">
      <formula>0</formula>
      <formula>0.255</formula>
    </cfRule>
  </conditionalFormatting>
  <conditionalFormatting sqref="AG354">
    <cfRule type="cellIs" dxfId="5717" priority="3137" operator="between">
      <formula>0.76</formula>
      <formula>0.95</formula>
    </cfRule>
    <cfRule type="cellIs" dxfId="5716" priority="3138" operator="between">
      <formula>0.51</formula>
      <formula>0.75</formula>
    </cfRule>
    <cfRule type="cellIs" dxfId="5715" priority="3139" operator="greaterThan">
      <formula>1</formula>
    </cfRule>
    <cfRule type="cellIs" dxfId="5714" priority="3140" operator="between">
      <formula>0.95</formula>
      <formula>1</formula>
    </cfRule>
    <cfRule type="cellIs" dxfId="5713" priority="3141" stopIfTrue="1" operator="between">
      <formula>0</formula>
      <formula>0.5</formula>
    </cfRule>
  </conditionalFormatting>
  <conditionalFormatting sqref="AF120 R120 Y120 AH120:AI120">
    <cfRule type="cellIs" dxfId="5712" priority="3123" operator="between">
      <formula>0.76</formula>
      <formula>0.95</formula>
    </cfRule>
    <cfRule type="cellIs" dxfId="5711" priority="3124" operator="between">
      <formula>0.51</formula>
      <formula>0.75</formula>
    </cfRule>
    <cfRule type="cellIs" dxfId="5710" priority="3125" operator="greaterThan">
      <formula>1</formula>
    </cfRule>
    <cfRule type="cellIs" dxfId="5709" priority="3126" operator="between">
      <formula>0.95</formula>
      <formula>1</formula>
    </cfRule>
    <cfRule type="cellIs" dxfId="5708" priority="3127" stopIfTrue="1" operator="between">
      <formula>0</formula>
      <formula>0.5</formula>
    </cfRule>
  </conditionalFormatting>
  <conditionalFormatting sqref="T120">
    <cfRule type="cellIs" dxfId="5707" priority="3118" operator="between">
      <formula>0.3751</formula>
      <formula>0.475</formula>
    </cfRule>
    <cfRule type="cellIs" dxfId="5706" priority="3119" operator="between">
      <formula>0.2551</formula>
      <formula>0.375</formula>
    </cfRule>
    <cfRule type="cellIs" dxfId="5705" priority="3120" operator="greaterThan">
      <formula>0.505</formula>
    </cfRule>
    <cfRule type="cellIs" dxfId="5704" priority="3121" operator="between">
      <formula>0.48</formula>
      <formula>0.5</formula>
    </cfRule>
    <cfRule type="cellIs" dxfId="5703" priority="3122" stopIfTrue="1" operator="between">
      <formula>0</formula>
      <formula>0.255</formula>
    </cfRule>
  </conditionalFormatting>
  <conditionalFormatting sqref="AA120:AB120">
    <cfRule type="cellIs" dxfId="5702" priority="3113" operator="between">
      <formula>0.56251</formula>
      <formula>0.7125</formula>
    </cfRule>
    <cfRule type="cellIs" dxfId="5701" priority="3114" operator="between">
      <formula>0.3751</formula>
      <formula>0.5625</formula>
    </cfRule>
    <cfRule type="cellIs" dxfId="5700" priority="3115" operator="greaterThan">
      <formula>0.751</formula>
    </cfRule>
    <cfRule type="cellIs" dxfId="5699" priority="3116" operator="between">
      <formula>0.71251</formula>
      <formula>0.75</formula>
    </cfRule>
    <cfRule type="cellIs" dxfId="5698" priority="3117" stopIfTrue="1" operator="between">
      <formula>0</formula>
      <formula>0.375</formula>
    </cfRule>
  </conditionalFormatting>
  <conditionalFormatting sqref="U120">
    <cfRule type="cellIs" dxfId="5697" priority="3108" operator="between">
      <formula>0.376</formula>
      <formula>0.475</formula>
    </cfRule>
    <cfRule type="cellIs" dxfId="5696" priority="3109" operator="between">
      <formula>0.2551</formula>
      <formula>0.3751</formula>
    </cfRule>
    <cfRule type="cellIs" dxfId="5695" priority="3110" operator="greaterThan">
      <formula>0.505</formula>
    </cfRule>
    <cfRule type="cellIs" dxfId="5694" priority="3111" operator="between">
      <formula>0.48</formula>
      <formula>0.5</formula>
    </cfRule>
    <cfRule type="cellIs" dxfId="5693" priority="3112" stopIfTrue="1" operator="between">
      <formula>0</formula>
      <formula>0.255</formula>
    </cfRule>
  </conditionalFormatting>
  <conditionalFormatting sqref="AC120">
    <cfRule type="cellIs" dxfId="5692" priority="3086" operator="between">
      <formula>0.56251</formula>
      <formula>0.7125</formula>
    </cfRule>
    <cfRule type="cellIs" dxfId="5691" priority="3087" operator="between">
      <formula>0.3751</formula>
      <formula>0.5625</formula>
    </cfRule>
    <cfRule type="cellIs" dxfId="5690" priority="3088" operator="greaterThan">
      <formula>0.751</formula>
    </cfRule>
    <cfRule type="cellIs" dxfId="5689" priority="3089" operator="between">
      <formula>0.71251</formula>
      <formula>0.75</formula>
    </cfRule>
    <cfRule type="cellIs" dxfId="5688" priority="3090" stopIfTrue="1" operator="between">
      <formula>0</formula>
      <formula>0.375</formula>
    </cfRule>
  </conditionalFormatting>
  <conditionalFormatting sqref="S120">
    <cfRule type="cellIs" dxfId="5687" priority="3081" operator="between">
      <formula>0.76</formula>
      <formula>0.95</formula>
    </cfRule>
    <cfRule type="cellIs" dxfId="5686" priority="3082" operator="between">
      <formula>0.51</formula>
      <formula>0.75</formula>
    </cfRule>
    <cfRule type="cellIs" dxfId="5685" priority="3083" operator="greaterThan">
      <formula>1</formula>
    </cfRule>
    <cfRule type="cellIs" dxfId="5684" priority="3084" operator="between">
      <formula>0.95</formula>
      <formula>1</formula>
    </cfRule>
    <cfRule type="cellIs" dxfId="5683" priority="3085" stopIfTrue="1" operator="between">
      <formula>0</formula>
      <formula>0.5</formula>
    </cfRule>
  </conditionalFormatting>
  <conditionalFormatting sqref="V120">
    <cfRule type="cellIs" dxfId="5682" priority="3076" operator="between">
      <formula>0.376</formula>
      <formula>0.475</formula>
    </cfRule>
    <cfRule type="cellIs" dxfId="5681" priority="3077" operator="between">
      <formula>0.2551</formula>
      <formula>0.3751</formula>
    </cfRule>
    <cfRule type="cellIs" dxfId="5680" priority="3078" operator="greaterThan">
      <formula>0.505</formula>
    </cfRule>
    <cfRule type="cellIs" dxfId="5679" priority="3079" operator="between">
      <formula>0.48</formula>
      <formula>0.5</formula>
    </cfRule>
    <cfRule type="cellIs" dxfId="5678" priority="3080" stopIfTrue="1" operator="between">
      <formula>0</formula>
      <formula>0.255</formula>
    </cfRule>
  </conditionalFormatting>
  <conditionalFormatting sqref="AG120">
    <cfRule type="cellIs" dxfId="5677" priority="3071" operator="between">
      <formula>0.76</formula>
      <formula>0.95</formula>
    </cfRule>
    <cfRule type="cellIs" dxfId="5676" priority="3072" operator="between">
      <formula>0.51</formula>
      <formula>0.75</formula>
    </cfRule>
    <cfRule type="cellIs" dxfId="5675" priority="3073" operator="greaterThan">
      <formula>1</formula>
    </cfRule>
    <cfRule type="cellIs" dxfId="5674" priority="3074" operator="between">
      <formula>0.95</formula>
      <formula>1</formula>
    </cfRule>
    <cfRule type="cellIs" dxfId="5673" priority="3075" stopIfTrue="1" operator="between">
      <formula>0</formula>
      <formula>0.5</formula>
    </cfRule>
  </conditionalFormatting>
  <conditionalFormatting sqref="AF121 R121 Y121 AH121:AI121">
    <cfRule type="cellIs" dxfId="5672" priority="3066" operator="between">
      <formula>0.76</formula>
      <formula>0.95</formula>
    </cfRule>
    <cfRule type="cellIs" dxfId="5671" priority="3067" operator="between">
      <formula>0.51</formula>
      <formula>0.75</formula>
    </cfRule>
    <cfRule type="cellIs" dxfId="5670" priority="3068" operator="greaterThan">
      <formula>1</formula>
    </cfRule>
    <cfRule type="cellIs" dxfId="5669" priority="3069" operator="between">
      <formula>0.95</formula>
      <formula>1</formula>
    </cfRule>
    <cfRule type="cellIs" dxfId="5668" priority="3070" stopIfTrue="1" operator="between">
      <formula>0</formula>
      <formula>0.5</formula>
    </cfRule>
  </conditionalFormatting>
  <conditionalFormatting sqref="T121">
    <cfRule type="cellIs" dxfId="5667" priority="3061" operator="between">
      <formula>0.3751</formula>
      <formula>0.475</formula>
    </cfRule>
    <cfRule type="cellIs" dxfId="5666" priority="3062" operator="between">
      <formula>0.2551</formula>
      <formula>0.375</formula>
    </cfRule>
    <cfRule type="cellIs" dxfId="5665" priority="3063" operator="greaterThan">
      <formula>0.505</formula>
    </cfRule>
    <cfRule type="cellIs" dxfId="5664" priority="3064" operator="between">
      <formula>0.48</formula>
      <formula>0.5</formula>
    </cfRule>
    <cfRule type="cellIs" dxfId="5663" priority="3065" stopIfTrue="1" operator="between">
      <formula>0</formula>
      <formula>0.255</formula>
    </cfRule>
  </conditionalFormatting>
  <conditionalFormatting sqref="AA121:AB121">
    <cfRule type="cellIs" dxfId="5662" priority="3056" operator="between">
      <formula>0.56251</formula>
      <formula>0.7125</formula>
    </cfRule>
    <cfRule type="cellIs" dxfId="5661" priority="3057" operator="between">
      <formula>0.3751</formula>
      <formula>0.5625</formula>
    </cfRule>
    <cfRule type="cellIs" dxfId="5660" priority="3058" operator="greaterThan">
      <formula>0.751</formula>
    </cfRule>
    <cfRule type="cellIs" dxfId="5659" priority="3059" operator="between">
      <formula>0.71251</formula>
      <formula>0.75</formula>
    </cfRule>
    <cfRule type="cellIs" dxfId="5658" priority="3060" stopIfTrue="1" operator="between">
      <formula>0</formula>
      <formula>0.375</formula>
    </cfRule>
  </conditionalFormatting>
  <conditionalFormatting sqref="U121">
    <cfRule type="cellIs" dxfId="5657" priority="3051" operator="between">
      <formula>0.376</formula>
      <formula>0.475</formula>
    </cfRule>
    <cfRule type="cellIs" dxfId="5656" priority="3052" operator="between">
      <formula>0.2551</formula>
      <formula>0.3751</formula>
    </cfRule>
    <cfRule type="cellIs" dxfId="5655" priority="3053" operator="greaterThan">
      <formula>0.505</formula>
    </cfRule>
    <cfRule type="cellIs" dxfId="5654" priority="3054" operator="between">
      <formula>0.48</formula>
      <formula>0.5</formula>
    </cfRule>
    <cfRule type="cellIs" dxfId="5653" priority="3055" stopIfTrue="1" operator="between">
      <formula>0</formula>
      <formula>0.255</formula>
    </cfRule>
  </conditionalFormatting>
  <conditionalFormatting sqref="Z121">
    <cfRule type="cellIs" dxfId="5652" priority="3034" operator="between">
      <formula>0.76</formula>
      <formula>0.95</formula>
    </cfRule>
    <cfRule type="cellIs" dxfId="5651" priority="3035" operator="between">
      <formula>0.51</formula>
      <formula>0.75</formula>
    </cfRule>
    <cfRule type="cellIs" dxfId="5650" priority="3036" operator="greaterThan">
      <formula>1</formula>
    </cfRule>
    <cfRule type="cellIs" dxfId="5649" priority="3037" operator="between">
      <formula>0.95</formula>
      <formula>1</formula>
    </cfRule>
    <cfRule type="cellIs" dxfId="5648" priority="3038" stopIfTrue="1" operator="between">
      <formula>0</formula>
      <formula>0.5</formula>
    </cfRule>
  </conditionalFormatting>
  <conditionalFormatting sqref="AC121">
    <cfRule type="cellIs" dxfId="5647" priority="3029" operator="between">
      <formula>0.56251</formula>
      <formula>0.7125</formula>
    </cfRule>
    <cfRule type="cellIs" dxfId="5646" priority="3030" operator="between">
      <formula>0.3751</formula>
      <formula>0.5625</formula>
    </cfRule>
    <cfRule type="cellIs" dxfId="5645" priority="3031" operator="greaterThan">
      <formula>0.751</formula>
    </cfRule>
    <cfRule type="cellIs" dxfId="5644" priority="3032" operator="between">
      <formula>0.71251</formula>
      <formula>0.75</formula>
    </cfRule>
    <cfRule type="cellIs" dxfId="5643" priority="3033" stopIfTrue="1" operator="between">
      <formula>0</formula>
      <formula>0.375</formula>
    </cfRule>
  </conditionalFormatting>
  <conditionalFormatting sqref="S121">
    <cfRule type="cellIs" dxfId="5642" priority="3024" operator="between">
      <formula>0.76</formula>
      <formula>0.95</formula>
    </cfRule>
    <cfRule type="cellIs" dxfId="5641" priority="3025" operator="between">
      <formula>0.51</formula>
      <formula>0.75</formula>
    </cfRule>
    <cfRule type="cellIs" dxfId="5640" priority="3026" operator="greaterThan">
      <formula>1</formula>
    </cfRule>
    <cfRule type="cellIs" dxfId="5639" priority="3027" operator="between">
      <formula>0.95</formula>
      <formula>1</formula>
    </cfRule>
    <cfRule type="cellIs" dxfId="5638" priority="3028" stopIfTrue="1" operator="between">
      <formula>0</formula>
      <formula>0.5</formula>
    </cfRule>
  </conditionalFormatting>
  <conditionalFormatting sqref="V121">
    <cfRule type="cellIs" dxfId="5637" priority="3019" operator="between">
      <formula>0.376</formula>
      <formula>0.475</formula>
    </cfRule>
    <cfRule type="cellIs" dxfId="5636" priority="3020" operator="between">
      <formula>0.2551</formula>
      <formula>0.3751</formula>
    </cfRule>
    <cfRule type="cellIs" dxfId="5635" priority="3021" operator="greaterThan">
      <formula>0.505</formula>
    </cfRule>
    <cfRule type="cellIs" dxfId="5634" priority="3022" operator="between">
      <formula>0.48</formula>
      <formula>0.5</formula>
    </cfRule>
    <cfRule type="cellIs" dxfId="5633" priority="3023" stopIfTrue="1" operator="between">
      <formula>0</formula>
      <formula>0.255</formula>
    </cfRule>
  </conditionalFormatting>
  <conditionalFormatting sqref="AG121">
    <cfRule type="cellIs" dxfId="5632" priority="3014" operator="between">
      <formula>0.76</formula>
      <formula>0.95</formula>
    </cfRule>
    <cfRule type="cellIs" dxfId="5631" priority="3015" operator="between">
      <formula>0.51</formula>
      <formula>0.75</formula>
    </cfRule>
    <cfRule type="cellIs" dxfId="5630" priority="3016" operator="greaterThan">
      <formula>1</formula>
    </cfRule>
    <cfRule type="cellIs" dxfId="5629" priority="3017" operator="between">
      <formula>0.95</formula>
      <formula>1</formula>
    </cfRule>
    <cfRule type="cellIs" dxfId="5628" priority="3018" stopIfTrue="1" operator="between">
      <formula>0</formula>
      <formula>0.5</formula>
    </cfRule>
  </conditionalFormatting>
  <conditionalFormatting sqref="Z98">
    <cfRule type="cellIs" dxfId="5627" priority="2839" operator="between">
      <formula>0.76</formula>
      <formula>0.95</formula>
    </cfRule>
    <cfRule type="cellIs" dxfId="5626" priority="2840" operator="between">
      <formula>0.51</formula>
      <formula>0.75</formula>
    </cfRule>
    <cfRule type="cellIs" dxfId="5625" priority="2841" operator="greaterThan">
      <formula>1</formula>
    </cfRule>
    <cfRule type="cellIs" dxfId="5624" priority="2842" operator="between">
      <formula>0.95</formula>
      <formula>1</formula>
    </cfRule>
    <cfRule type="cellIs" dxfId="5623" priority="2843" stopIfTrue="1" operator="between">
      <formula>0</formula>
      <formula>0.5</formula>
    </cfRule>
  </conditionalFormatting>
  <conditionalFormatting sqref="AG98">
    <cfRule type="cellIs" dxfId="5622" priority="2834" operator="between">
      <formula>0.76</formula>
      <formula>0.95</formula>
    </cfRule>
    <cfRule type="cellIs" dxfId="5621" priority="2835" operator="between">
      <formula>0.51</formula>
      <formula>0.75</formula>
    </cfRule>
    <cfRule type="cellIs" dxfId="5620" priority="2836" operator="greaterThan">
      <formula>1</formula>
    </cfRule>
    <cfRule type="cellIs" dxfId="5619" priority="2837" operator="between">
      <formula>0.95</formula>
      <formula>1</formula>
    </cfRule>
    <cfRule type="cellIs" dxfId="5618" priority="2838" stopIfTrue="1" operator="between">
      <formula>0</formula>
      <formula>0.5</formula>
    </cfRule>
  </conditionalFormatting>
  <conditionalFormatting sqref="K351:L351">
    <cfRule type="cellIs" dxfId="5617" priority="2829" operator="between">
      <formula>0.76</formula>
      <formula>0.95</formula>
    </cfRule>
    <cfRule type="cellIs" dxfId="5616" priority="2830" operator="between">
      <formula>0.51</formula>
      <formula>0.75</formula>
    </cfRule>
    <cfRule type="cellIs" dxfId="5615" priority="2831" operator="greaterThan">
      <formula>1</formula>
    </cfRule>
    <cfRule type="cellIs" dxfId="5614" priority="2832" operator="between">
      <formula>0.96</formula>
      <formula>1</formula>
    </cfRule>
    <cfRule type="cellIs" dxfId="5613" priority="2833" stopIfTrue="1" operator="between">
      <formula>0</formula>
      <formula>0.5</formula>
    </cfRule>
  </conditionalFormatting>
  <conditionalFormatting sqref="O351">
    <cfRule type="cellIs" dxfId="5612" priority="2824" operator="between">
      <formula>0.1876</formula>
      <formula>0.2375</formula>
    </cfRule>
    <cfRule type="cellIs" dxfId="5611" priority="2825" operator="between">
      <formula>0.1251</formula>
      <formula>0.1875</formula>
    </cfRule>
    <cfRule type="cellIs" dxfId="5610" priority="2826" operator="greaterThan">
      <formula>0.25</formula>
    </cfRule>
    <cfRule type="cellIs" dxfId="5609" priority="2827" operator="between">
      <formula>0.2375</formula>
      <formula>0.25</formula>
    </cfRule>
    <cfRule type="cellIs" dxfId="5608" priority="2828" stopIfTrue="1" operator="between">
      <formula>0</formula>
      <formula>0.125</formula>
    </cfRule>
  </conditionalFormatting>
  <conditionalFormatting sqref="M351:N351">
    <cfRule type="cellIs" dxfId="5607" priority="2819" operator="between">
      <formula>0.1876</formula>
      <formula>0.2375</formula>
    </cfRule>
    <cfRule type="cellIs" dxfId="5606" priority="2820" operator="between">
      <formula>0.1251</formula>
      <formula>0.1875</formula>
    </cfRule>
    <cfRule type="cellIs" dxfId="5605" priority="2821" operator="greaterThan">
      <formula>0.25</formula>
    </cfRule>
    <cfRule type="cellIs" dxfId="5604" priority="2822" operator="between">
      <formula>0.2376</formula>
      <formula>0.25</formula>
    </cfRule>
    <cfRule type="cellIs" dxfId="5603" priority="2823" stopIfTrue="1" operator="between">
      <formula>0</formula>
      <formula>0.125</formula>
    </cfRule>
  </conditionalFormatting>
  <conditionalFormatting sqref="AI351">
    <cfRule type="cellIs" dxfId="5602" priority="2814" operator="between">
      <formula>0.76</formula>
      <formula>0.95</formula>
    </cfRule>
    <cfRule type="cellIs" dxfId="5601" priority="2815" operator="between">
      <formula>0.51</formula>
      <formula>0.75</formula>
    </cfRule>
    <cfRule type="cellIs" dxfId="5600" priority="2816" operator="greaterThan">
      <formula>1</formula>
    </cfRule>
    <cfRule type="cellIs" dxfId="5599" priority="2817" operator="between">
      <formula>0.95</formula>
      <formula>1</formula>
    </cfRule>
    <cfRule type="cellIs" dxfId="5598" priority="2818" stopIfTrue="1" operator="between">
      <formula>0</formula>
      <formula>0.5</formula>
    </cfRule>
  </conditionalFormatting>
  <conditionalFormatting sqref="R351">
    <cfRule type="cellIs" dxfId="5597" priority="2809" operator="between">
      <formula>0.76</formula>
      <formula>0.95</formula>
    </cfRule>
    <cfRule type="cellIs" dxfId="5596" priority="2810" operator="between">
      <formula>0.51</formula>
      <formula>0.75</formula>
    </cfRule>
    <cfRule type="cellIs" dxfId="5595" priority="2811" operator="greaterThan">
      <formula>1</formula>
    </cfRule>
    <cfRule type="cellIs" dxfId="5594" priority="2812" operator="between">
      <formula>0.95</formula>
      <formula>1</formula>
    </cfRule>
    <cfRule type="cellIs" dxfId="5593" priority="2813" stopIfTrue="1" operator="between">
      <formula>0</formula>
      <formula>0.5</formula>
    </cfRule>
  </conditionalFormatting>
  <conditionalFormatting sqref="Y351">
    <cfRule type="cellIs" dxfId="5592" priority="2804" operator="between">
      <formula>0.76</formula>
      <formula>0.95</formula>
    </cfRule>
    <cfRule type="cellIs" dxfId="5591" priority="2805" operator="between">
      <formula>0.51</formula>
      <formula>0.75</formula>
    </cfRule>
    <cfRule type="cellIs" dxfId="5590" priority="2806" operator="greaterThan">
      <formula>1</formula>
    </cfRule>
    <cfRule type="cellIs" dxfId="5589" priority="2807" operator="between">
      <formula>0.95</formula>
      <formula>1</formula>
    </cfRule>
    <cfRule type="cellIs" dxfId="5588" priority="2808" stopIfTrue="1" operator="between">
      <formula>0</formula>
      <formula>0.5</formula>
    </cfRule>
  </conditionalFormatting>
  <conditionalFormatting sqref="AF351">
    <cfRule type="cellIs" dxfId="5587" priority="2799" operator="between">
      <formula>0.76</formula>
      <formula>0.95</formula>
    </cfRule>
    <cfRule type="cellIs" dxfId="5586" priority="2800" operator="between">
      <formula>0.51</formula>
      <formula>0.75</formula>
    </cfRule>
    <cfRule type="cellIs" dxfId="5585" priority="2801" operator="greaterThan">
      <formula>1</formula>
    </cfRule>
    <cfRule type="cellIs" dxfId="5584" priority="2802" operator="between">
      <formula>0.95</formula>
      <formula>1</formula>
    </cfRule>
    <cfRule type="cellIs" dxfId="5583" priority="2803" stopIfTrue="1" operator="between">
      <formula>0</formula>
      <formula>0.5</formula>
    </cfRule>
  </conditionalFormatting>
  <conditionalFormatting sqref="AH351">
    <cfRule type="cellIs" dxfId="5582" priority="2794" operator="between">
      <formula>0.76</formula>
      <formula>0.95</formula>
    </cfRule>
    <cfRule type="cellIs" dxfId="5581" priority="2795" operator="between">
      <formula>0.51</formula>
      <formula>0.75</formula>
    </cfRule>
    <cfRule type="cellIs" dxfId="5580" priority="2796" operator="greaterThan">
      <formula>1</formula>
    </cfRule>
    <cfRule type="cellIs" dxfId="5579" priority="2797" operator="between">
      <formula>0.95</formula>
      <formula>1</formula>
    </cfRule>
    <cfRule type="cellIs" dxfId="5578" priority="2798" stopIfTrue="1" operator="between">
      <formula>0</formula>
      <formula>0.5</formula>
    </cfRule>
  </conditionalFormatting>
  <conditionalFormatting sqref="T351">
    <cfRule type="cellIs" dxfId="5577" priority="2789" operator="between">
      <formula>0.3751</formula>
      <formula>0.475</formula>
    </cfRule>
    <cfRule type="cellIs" dxfId="5576" priority="2790" operator="between">
      <formula>0.2551</formula>
      <formula>0.375</formula>
    </cfRule>
    <cfRule type="cellIs" dxfId="5575" priority="2791" operator="greaterThan">
      <formula>0.505</formula>
    </cfRule>
    <cfRule type="cellIs" dxfId="5574" priority="2792" operator="between">
      <formula>0.48</formula>
      <formula>0.5</formula>
    </cfRule>
    <cfRule type="cellIs" dxfId="5573" priority="2793" stopIfTrue="1" operator="between">
      <formula>0</formula>
      <formula>0.255</formula>
    </cfRule>
  </conditionalFormatting>
  <conditionalFormatting sqref="U351">
    <cfRule type="cellIs" dxfId="5572" priority="2784" operator="between">
      <formula>0.376</formula>
      <formula>0.475</formula>
    </cfRule>
    <cfRule type="cellIs" dxfId="5571" priority="2785" operator="between">
      <formula>0.2551</formula>
      <formula>0.3751</formula>
    </cfRule>
    <cfRule type="cellIs" dxfId="5570" priority="2786" operator="greaterThan">
      <formula>0.505</formula>
    </cfRule>
    <cfRule type="cellIs" dxfId="5569" priority="2787" operator="between">
      <formula>0.48</formula>
      <formula>0.5</formula>
    </cfRule>
    <cfRule type="cellIs" dxfId="5568" priority="2788" stopIfTrue="1" operator="between">
      <formula>0</formula>
      <formula>0.255</formula>
    </cfRule>
  </conditionalFormatting>
  <conditionalFormatting sqref="AA351">
    <cfRule type="cellIs" dxfId="5567" priority="2779" operator="between">
      <formula>0.56251</formula>
      <formula>0.7125</formula>
    </cfRule>
    <cfRule type="cellIs" dxfId="5566" priority="2780" operator="between">
      <formula>0.3751</formula>
      <formula>0.5625</formula>
    </cfRule>
    <cfRule type="cellIs" dxfId="5565" priority="2781" operator="greaterThan">
      <formula>0.751</formula>
    </cfRule>
    <cfRule type="cellIs" dxfId="5564" priority="2782" operator="between">
      <formula>0.71251</formula>
      <formula>0.75</formula>
    </cfRule>
    <cfRule type="cellIs" dxfId="5563" priority="2783" stopIfTrue="1" operator="between">
      <formula>0</formula>
      <formula>0.375</formula>
    </cfRule>
  </conditionalFormatting>
  <conditionalFormatting sqref="AC351">
    <cfRule type="cellIs" dxfId="5562" priority="2774" operator="between">
      <formula>0.56251</formula>
      <formula>0.7125</formula>
    </cfRule>
    <cfRule type="cellIs" dxfId="5561" priority="2775" operator="between">
      <formula>0.3751</formula>
      <formula>0.5625</formula>
    </cfRule>
    <cfRule type="cellIs" dxfId="5560" priority="2776" operator="greaterThan">
      <formula>0.751</formula>
    </cfRule>
    <cfRule type="cellIs" dxfId="5559" priority="2777" operator="between">
      <formula>0.71251</formula>
      <formula>0.75</formula>
    </cfRule>
    <cfRule type="cellIs" dxfId="5558" priority="2778" stopIfTrue="1" operator="between">
      <formula>0</formula>
      <formula>0.375</formula>
    </cfRule>
  </conditionalFormatting>
  <conditionalFormatting sqref="AB351">
    <cfRule type="cellIs" dxfId="5557" priority="2769" operator="between">
      <formula>0.56251</formula>
      <formula>0.7125</formula>
    </cfRule>
    <cfRule type="cellIs" dxfId="5556" priority="2770" operator="between">
      <formula>0.3751</formula>
      <formula>0.5625</formula>
    </cfRule>
    <cfRule type="cellIs" dxfId="5555" priority="2771" operator="greaterThan">
      <formula>0.751</formula>
    </cfRule>
    <cfRule type="cellIs" dxfId="5554" priority="2772" operator="between">
      <formula>0.71251</formula>
      <formula>0.75</formula>
    </cfRule>
    <cfRule type="cellIs" dxfId="5553" priority="2773" stopIfTrue="1" operator="between">
      <formula>0</formula>
      <formula>0.375</formula>
    </cfRule>
  </conditionalFormatting>
  <conditionalFormatting sqref="Z351">
    <cfRule type="cellIs" dxfId="5552" priority="2764" operator="between">
      <formula>0.76</formula>
      <formula>0.95</formula>
    </cfRule>
    <cfRule type="cellIs" dxfId="5551" priority="2765" operator="between">
      <formula>0.51</formula>
      <formula>0.75</formula>
    </cfRule>
    <cfRule type="cellIs" dxfId="5550" priority="2766" operator="greaterThan">
      <formula>1</formula>
    </cfRule>
    <cfRule type="cellIs" dxfId="5549" priority="2767" operator="between">
      <formula>0.95</formula>
      <formula>1</formula>
    </cfRule>
    <cfRule type="cellIs" dxfId="5548" priority="2768" stopIfTrue="1" operator="between">
      <formula>0</formula>
      <formula>0.5</formula>
    </cfRule>
  </conditionalFormatting>
  <conditionalFormatting sqref="S351">
    <cfRule type="cellIs" dxfId="5547" priority="2759" operator="between">
      <formula>0.76</formula>
      <formula>0.95</formula>
    </cfRule>
    <cfRule type="cellIs" dxfId="5546" priority="2760" operator="between">
      <formula>0.51</formula>
      <formula>0.75</formula>
    </cfRule>
    <cfRule type="cellIs" dxfId="5545" priority="2761" operator="greaterThan">
      <formula>1</formula>
    </cfRule>
    <cfRule type="cellIs" dxfId="5544" priority="2762" operator="between">
      <formula>0.95</formula>
      <formula>1</formula>
    </cfRule>
    <cfRule type="cellIs" dxfId="5543" priority="2763" stopIfTrue="1" operator="between">
      <formula>0</formula>
      <formula>0.5</formula>
    </cfRule>
  </conditionalFormatting>
  <conditionalFormatting sqref="V351">
    <cfRule type="cellIs" dxfId="5542" priority="2754" operator="between">
      <formula>0.376</formula>
      <formula>0.475</formula>
    </cfRule>
    <cfRule type="cellIs" dxfId="5541" priority="2755" operator="between">
      <formula>0.2551</formula>
      <formula>0.3751</formula>
    </cfRule>
    <cfRule type="cellIs" dxfId="5540" priority="2756" operator="greaterThan">
      <formula>0.505</formula>
    </cfRule>
    <cfRule type="cellIs" dxfId="5539" priority="2757" operator="between">
      <formula>0.48</formula>
      <formula>0.5</formula>
    </cfRule>
    <cfRule type="cellIs" dxfId="5538" priority="2758" stopIfTrue="1" operator="between">
      <formula>0</formula>
      <formula>0.255</formula>
    </cfRule>
  </conditionalFormatting>
  <conditionalFormatting sqref="AG351">
    <cfRule type="cellIs" dxfId="5537" priority="2749" operator="between">
      <formula>0.76</formula>
      <formula>0.95</formula>
    </cfRule>
    <cfRule type="cellIs" dxfId="5536" priority="2750" operator="between">
      <formula>0.51</formula>
      <formula>0.75</formula>
    </cfRule>
    <cfRule type="cellIs" dxfId="5535" priority="2751" operator="greaterThan">
      <formula>1</formula>
    </cfRule>
    <cfRule type="cellIs" dxfId="5534" priority="2752" operator="between">
      <formula>0.95</formula>
      <formula>1</formula>
    </cfRule>
    <cfRule type="cellIs" dxfId="5533" priority="2753" stopIfTrue="1" operator="between">
      <formula>0</formula>
      <formula>0.5</formula>
    </cfRule>
  </conditionalFormatting>
  <conditionalFormatting sqref="L331">
    <cfRule type="cellIs" dxfId="5532" priority="2732" operator="between">
      <formula>0.76</formula>
      <formula>0.95</formula>
    </cfRule>
    <cfRule type="cellIs" dxfId="5531" priority="2733" operator="between">
      <formula>0.51</formula>
      <formula>0.75</formula>
    </cfRule>
    <cfRule type="cellIs" dxfId="5530" priority="2734" operator="greaterThan">
      <formula>1</formula>
    </cfRule>
    <cfRule type="cellIs" dxfId="5529" priority="2735" operator="between">
      <formula>0.96</formula>
      <formula>1</formula>
    </cfRule>
    <cfRule type="cellIs" dxfId="5528" priority="2736" stopIfTrue="1" operator="between">
      <formula>0</formula>
      <formula>0.5</formula>
    </cfRule>
  </conditionalFormatting>
  <conditionalFormatting sqref="O331">
    <cfRule type="cellIs" dxfId="5527" priority="2727" operator="between">
      <formula>0.1876</formula>
      <formula>0.2375</formula>
    </cfRule>
    <cfRule type="cellIs" dxfId="5526" priority="2728" operator="between">
      <formula>0.1251</formula>
      <formula>0.1875</formula>
    </cfRule>
    <cfRule type="cellIs" dxfId="5525" priority="2729" operator="greaterThan">
      <formula>0.25</formula>
    </cfRule>
    <cfRule type="cellIs" dxfId="5524" priority="2730" operator="between">
      <formula>0.2375</formula>
      <formula>0.25</formula>
    </cfRule>
    <cfRule type="cellIs" dxfId="5523" priority="2731" stopIfTrue="1" operator="between">
      <formula>0</formula>
      <formula>0.125</formula>
    </cfRule>
  </conditionalFormatting>
  <conditionalFormatting sqref="AG331">
    <cfRule type="cellIs" dxfId="5522" priority="2722" operator="between">
      <formula>0.76</formula>
      <formula>0.95</formula>
    </cfRule>
    <cfRule type="cellIs" dxfId="5521" priority="2723" operator="between">
      <formula>0.51</formula>
      <formula>0.75</formula>
    </cfRule>
    <cfRule type="cellIs" dxfId="5520" priority="2724" operator="greaterThan">
      <formula>1</formula>
    </cfRule>
    <cfRule type="cellIs" dxfId="5519" priority="2725" operator="between">
      <formula>0.95</formula>
      <formula>1</formula>
    </cfRule>
    <cfRule type="cellIs" dxfId="5518" priority="2726" stopIfTrue="1" operator="between">
      <formula>0</formula>
      <formula>0.5</formula>
    </cfRule>
  </conditionalFormatting>
  <conditionalFormatting sqref="K303:L303">
    <cfRule type="cellIs" dxfId="5517" priority="2717" operator="between">
      <formula>0.76</formula>
      <formula>0.95</formula>
    </cfRule>
    <cfRule type="cellIs" dxfId="5516" priority="2718" operator="between">
      <formula>0.51</formula>
      <formula>0.75</formula>
    </cfRule>
    <cfRule type="cellIs" dxfId="5515" priority="2719" operator="greaterThan">
      <formula>1</formula>
    </cfRule>
    <cfRule type="cellIs" dxfId="5514" priority="2720" operator="between">
      <formula>0.96</formula>
      <formula>1</formula>
    </cfRule>
    <cfRule type="cellIs" dxfId="5513" priority="2721" stopIfTrue="1" operator="between">
      <formula>0</formula>
      <formula>0.5</formula>
    </cfRule>
  </conditionalFormatting>
  <conditionalFormatting sqref="O303">
    <cfRule type="cellIs" dxfId="5512" priority="2712" operator="between">
      <formula>0.1876</formula>
      <formula>0.2375</formula>
    </cfRule>
    <cfRule type="cellIs" dxfId="5511" priority="2713" operator="between">
      <formula>0.1251</formula>
      <formula>0.1875</formula>
    </cfRule>
    <cfRule type="cellIs" dxfId="5510" priority="2714" operator="greaterThan">
      <formula>0.25</formula>
    </cfRule>
    <cfRule type="cellIs" dxfId="5509" priority="2715" operator="between">
      <formula>0.2375</formula>
      <formula>0.25</formula>
    </cfRule>
    <cfRule type="cellIs" dxfId="5508" priority="2716" stopIfTrue="1" operator="between">
      <formula>0</formula>
      <formula>0.125</formula>
    </cfRule>
  </conditionalFormatting>
  <conditionalFormatting sqref="M303:N303">
    <cfRule type="cellIs" dxfId="5507" priority="2707" operator="between">
      <formula>0.1876</formula>
      <formula>0.2375</formula>
    </cfRule>
    <cfRule type="cellIs" dxfId="5506" priority="2708" operator="between">
      <formula>0.1251</formula>
      <formula>0.1875</formula>
    </cfRule>
    <cfRule type="cellIs" dxfId="5505" priority="2709" operator="greaterThan">
      <formula>0.25</formula>
    </cfRule>
    <cfRule type="cellIs" dxfId="5504" priority="2710" operator="between">
      <formula>0.2376</formula>
      <formula>0.25</formula>
    </cfRule>
    <cfRule type="cellIs" dxfId="5503" priority="2711" stopIfTrue="1" operator="between">
      <formula>0</formula>
      <formula>0.125</formula>
    </cfRule>
  </conditionalFormatting>
  <conditionalFormatting sqref="Y303 AF303 R303 AH303:AI303">
    <cfRule type="cellIs" dxfId="5502" priority="2702" operator="between">
      <formula>0.76</formula>
      <formula>0.95</formula>
    </cfRule>
    <cfRule type="cellIs" dxfId="5501" priority="2703" operator="between">
      <formula>0.51</formula>
      <formula>0.75</formula>
    </cfRule>
    <cfRule type="cellIs" dxfId="5500" priority="2704" operator="greaterThan">
      <formula>1</formula>
    </cfRule>
    <cfRule type="cellIs" dxfId="5499" priority="2705" operator="between">
      <formula>0.95</formula>
      <formula>1</formula>
    </cfRule>
    <cfRule type="cellIs" dxfId="5498" priority="2706" stopIfTrue="1" operator="between">
      <formula>0</formula>
      <formula>0.5</formula>
    </cfRule>
  </conditionalFormatting>
  <conditionalFormatting sqref="T303">
    <cfRule type="cellIs" dxfId="5497" priority="2697" operator="between">
      <formula>0.3751</formula>
      <formula>0.475</formula>
    </cfRule>
    <cfRule type="cellIs" dxfId="5496" priority="2698" operator="between">
      <formula>0.2551</formula>
      <formula>0.375</formula>
    </cfRule>
    <cfRule type="cellIs" dxfId="5495" priority="2699" operator="greaterThan">
      <formula>0.505</formula>
    </cfRule>
    <cfRule type="cellIs" dxfId="5494" priority="2700" operator="between">
      <formula>0.48</formula>
      <formula>0.5</formula>
    </cfRule>
    <cfRule type="cellIs" dxfId="5493" priority="2701" stopIfTrue="1" operator="between">
      <formula>0</formula>
      <formula>0.255</formula>
    </cfRule>
  </conditionalFormatting>
  <conditionalFormatting sqref="AA303:AB303">
    <cfRule type="cellIs" dxfId="5492" priority="2692" operator="between">
      <formula>0.56251</formula>
      <formula>0.7125</formula>
    </cfRule>
    <cfRule type="cellIs" dxfId="5491" priority="2693" operator="between">
      <formula>0.3751</formula>
      <formula>0.5625</formula>
    </cfRule>
    <cfRule type="cellIs" dxfId="5490" priority="2694" operator="greaterThan">
      <formula>0.751</formula>
    </cfRule>
    <cfRule type="cellIs" dxfId="5489" priority="2695" operator="between">
      <formula>0.71251</formula>
      <formula>0.75</formula>
    </cfRule>
    <cfRule type="cellIs" dxfId="5488" priority="2696" stopIfTrue="1" operator="between">
      <formula>0</formula>
      <formula>0.375</formula>
    </cfRule>
  </conditionalFormatting>
  <conditionalFormatting sqref="U303">
    <cfRule type="cellIs" dxfId="5487" priority="2687" operator="between">
      <formula>0.376</formula>
      <formula>0.475</formula>
    </cfRule>
    <cfRule type="cellIs" dxfId="5486" priority="2688" operator="between">
      <formula>0.2551</formula>
      <formula>0.3751</formula>
    </cfRule>
    <cfRule type="cellIs" dxfId="5485" priority="2689" operator="greaterThan">
      <formula>0.505</formula>
    </cfRule>
    <cfRule type="cellIs" dxfId="5484" priority="2690" operator="between">
      <formula>0.48</formula>
      <formula>0.5</formula>
    </cfRule>
    <cfRule type="cellIs" dxfId="5483" priority="2691" stopIfTrue="1" operator="between">
      <formula>0</formula>
      <formula>0.255</formula>
    </cfRule>
  </conditionalFormatting>
  <conditionalFormatting sqref="S303">
    <cfRule type="cellIs" dxfId="5482" priority="2679" operator="between">
      <formula>0.76</formula>
      <formula>0.95</formula>
    </cfRule>
    <cfRule type="cellIs" dxfId="5481" priority="2680" operator="between">
      <formula>0.51</formula>
      <formula>0.75</formula>
    </cfRule>
    <cfRule type="cellIs" dxfId="5480" priority="2681" operator="greaterThan">
      <formula>1</formula>
    </cfRule>
    <cfRule type="cellIs" dxfId="5479" priority="2682" operator="between">
      <formula>0.95</formula>
      <formula>1</formula>
    </cfRule>
    <cfRule type="cellIs" dxfId="5478" priority="2683" stopIfTrue="1" operator="between">
      <formula>0</formula>
      <formula>0.5</formula>
    </cfRule>
  </conditionalFormatting>
  <conditionalFormatting sqref="V303">
    <cfRule type="cellIs" dxfId="5477" priority="2674" operator="between">
      <formula>0.376</formula>
      <formula>0.475</formula>
    </cfRule>
    <cfRule type="cellIs" dxfId="5476" priority="2675" operator="between">
      <formula>0.2551</formula>
      <formula>0.3751</formula>
    </cfRule>
    <cfRule type="cellIs" dxfId="5475" priority="2676" operator="greaterThan">
      <formula>0.505</formula>
    </cfRule>
    <cfRule type="cellIs" dxfId="5474" priority="2677" operator="between">
      <formula>0.48</formula>
      <formula>0.5</formula>
    </cfRule>
    <cfRule type="cellIs" dxfId="5473" priority="2678" stopIfTrue="1" operator="between">
      <formula>0</formula>
      <formula>0.255</formula>
    </cfRule>
  </conditionalFormatting>
  <conditionalFormatting sqref="AC303">
    <cfRule type="cellIs" dxfId="5472" priority="2669" operator="between">
      <formula>0.56251</formula>
      <formula>0.7125</formula>
    </cfRule>
    <cfRule type="cellIs" dxfId="5471" priority="2670" operator="between">
      <formula>0.3751</formula>
      <formula>0.5625</formula>
    </cfRule>
    <cfRule type="cellIs" dxfId="5470" priority="2671" operator="greaterThan">
      <formula>0.751</formula>
    </cfRule>
    <cfRule type="cellIs" dxfId="5469" priority="2672" operator="between">
      <formula>0.71251</formula>
      <formula>0.75</formula>
    </cfRule>
    <cfRule type="cellIs" dxfId="5468" priority="2673" stopIfTrue="1" operator="between">
      <formula>0</formula>
      <formula>0.375</formula>
    </cfRule>
  </conditionalFormatting>
  <conditionalFormatting sqref="AG303">
    <cfRule type="cellIs" dxfId="5467" priority="2664" operator="between">
      <formula>0.76</formula>
      <formula>0.95</formula>
    </cfRule>
    <cfRule type="cellIs" dxfId="5466" priority="2665" operator="between">
      <formula>0.51</formula>
      <formula>0.75</formula>
    </cfRule>
    <cfRule type="cellIs" dxfId="5465" priority="2666" operator="greaterThan">
      <formula>1</formula>
    </cfRule>
    <cfRule type="cellIs" dxfId="5464" priority="2667" operator="between">
      <formula>0.95</formula>
      <formula>1</formula>
    </cfRule>
    <cfRule type="cellIs" dxfId="5463" priority="2668" stopIfTrue="1" operator="between">
      <formula>0</formula>
      <formula>0.5</formula>
    </cfRule>
  </conditionalFormatting>
  <conditionalFormatting sqref="Z303">
    <cfRule type="cellIs" dxfId="5462" priority="2659" operator="between">
      <formula>0.76</formula>
      <formula>0.95</formula>
    </cfRule>
    <cfRule type="cellIs" dxfId="5461" priority="2660" operator="between">
      <formula>0.51</formula>
      <formula>0.75</formula>
    </cfRule>
    <cfRule type="cellIs" dxfId="5460" priority="2661" operator="greaterThan">
      <formula>1</formula>
    </cfRule>
    <cfRule type="cellIs" dxfId="5459" priority="2662" operator="between">
      <formula>0.95</formula>
      <formula>1</formula>
    </cfRule>
    <cfRule type="cellIs" dxfId="5458" priority="2663" stopIfTrue="1" operator="between">
      <formula>0</formula>
      <formula>0.5</formula>
    </cfRule>
  </conditionalFormatting>
  <conditionalFormatting sqref="AG135:AG136 AI135 S135:S136 Z135:Z136 L136">
    <cfRule type="cellIs" dxfId="5457" priority="2654" operator="between">
      <formula>0.76</formula>
      <formula>0.95</formula>
    </cfRule>
    <cfRule type="cellIs" dxfId="5456" priority="2655" operator="between">
      <formula>0.51</formula>
      <formula>0.75</formula>
    </cfRule>
    <cfRule type="cellIs" dxfId="5455" priority="2656" operator="greaterThan">
      <formula>1</formula>
    </cfRule>
    <cfRule type="cellIs" dxfId="5454" priority="2657" operator="between">
      <formula>0.96</formula>
      <formula>1</formula>
    </cfRule>
    <cfRule type="cellIs" dxfId="5453" priority="2658" stopIfTrue="1" operator="between">
      <formula>0</formula>
      <formula>0.5</formula>
    </cfRule>
  </conditionalFormatting>
  <conditionalFormatting sqref="R136">
    <cfRule type="cellIs" dxfId="5452" priority="2644" operator="between">
      <formula>0.76</formula>
      <formula>0.95</formula>
    </cfRule>
    <cfRule type="cellIs" dxfId="5451" priority="2645" operator="between">
      <formula>0.51</formula>
      <formula>0.75</formula>
    </cfRule>
    <cfRule type="cellIs" dxfId="5450" priority="2646" operator="greaterThan">
      <formula>1</formula>
    </cfRule>
    <cfRule type="cellIs" dxfId="5449" priority="2647" operator="between">
      <formula>0.95</formula>
      <formula>1</formula>
    </cfRule>
    <cfRule type="cellIs" dxfId="5448" priority="2648" stopIfTrue="1" operator="between">
      <formula>0</formula>
      <formula>0.5</formula>
    </cfRule>
  </conditionalFormatting>
  <conditionalFormatting sqref="Y136">
    <cfRule type="cellIs" dxfId="5447" priority="2639" operator="between">
      <formula>0.76</formula>
      <formula>0.95</formula>
    </cfRule>
    <cfRule type="cellIs" dxfId="5446" priority="2640" operator="between">
      <formula>0.51</formula>
      <formula>0.75</formula>
    </cfRule>
    <cfRule type="cellIs" dxfId="5445" priority="2641" operator="greaterThan">
      <formula>1</formula>
    </cfRule>
    <cfRule type="cellIs" dxfId="5444" priority="2642" operator="between">
      <formula>0.95</formula>
      <formula>1</formula>
    </cfRule>
    <cfRule type="cellIs" dxfId="5443" priority="2643" stopIfTrue="1" operator="between">
      <formula>0</formula>
      <formula>0.5</formula>
    </cfRule>
  </conditionalFormatting>
  <conditionalFormatting sqref="AF136">
    <cfRule type="cellIs" dxfId="5442" priority="2634" operator="between">
      <formula>0.76</formula>
      <formula>0.95</formula>
    </cfRule>
    <cfRule type="cellIs" dxfId="5441" priority="2635" operator="between">
      <formula>0.51</formula>
      <formula>0.75</formula>
    </cfRule>
    <cfRule type="cellIs" dxfId="5440" priority="2636" operator="greaterThan">
      <formula>1</formula>
    </cfRule>
    <cfRule type="cellIs" dxfId="5439" priority="2637" operator="between">
      <formula>0.95</formula>
      <formula>1</formula>
    </cfRule>
    <cfRule type="cellIs" dxfId="5438" priority="2638" stopIfTrue="1" operator="between">
      <formula>0</formula>
      <formula>0.5</formula>
    </cfRule>
  </conditionalFormatting>
  <conditionalFormatting sqref="AH135:AH136">
    <cfRule type="cellIs" dxfId="5437" priority="2629" operator="between">
      <formula>0.76</formula>
      <formula>0.95</formula>
    </cfRule>
    <cfRule type="cellIs" dxfId="5436" priority="2630" operator="between">
      <formula>0.51</formula>
      <formula>0.75</formula>
    </cfRule>
    <cfRule type="cellIs" dxfId="5435" priority="2631" operator="greaterThan">
      <formula>1</formula>
    </cfRule>
    <cfRule type="cellIs" dxfId="5434" priority="2632" operator="between">
      <formula>0.95</formula>
      <formula>1</formula>
    </cfRule>
    <cfRule type="cellIs" dxfId="5433" priority="2633" stopIfTrue="1" operator="between">
      <formula>0</formula>
      <formula>0.5</formula>
    </cfRule>
  </conditionalFormatting>
  <conditionalFormatting sqref="O136">
    <cfRule type="cellIs" dxfId="5432" priority="2624" operator="between">
      <formula>0.1876</formula>
      <formula>0.2375</formula>
    </cfRule>
    <cfRule type="cellIs" dxfId="5431" priority="2625" operator="between">
      <formula>0.1251</formula>
      <formula>0.1875</formula>
    </cfRule>
    <cfRule type="cellIs" dxfId="5430" priority="2626" operator="greaterThan">
      <formula>0.25</formula>
    </cfRule>
    <cfRule type="cellIs" dxfId="5429" priority="2627" operator="between">
      <formula>0.2375</formula>
      <formula>0.25</formula>
    </cfRule>
    <cfRule type="cellIs" dxfId="5428" priority="2628" stopIfTrue="1" operator="between">
      <formula>0</formula>
      <formula>0.125</formula>
    </cfRule>
  </conditionalFormatting>
  <conditionalFormatting sqref="T135:T136">
    <cfRule type="cellIs" dxfId="5427" priority="2614" operator="between">
      <formula>0.3751</formula>
      <formula>0.475</formula>
    </cfRule>
    <cfRule type="cellIs" dxfId="5426" priority="2615" operator="between">
      <formula>0.2551</formula>
      <formula>0.375</formula>
    </cfRule>
    <cfRule type="cellIs" dxfId="5425" priority="2616" operator="greaterThan">
      <formula>0.505</formula>
    </cfRule>
    <cfRule type="cellIs" dxfId="5424" priority="2617" operator="between">
      <formula>0.48</formula>
      <formula>0.5</formula>
    </cfRule>
    <cfRule type="cellIs" dxfId="5423" priority="2618" stopIfTrue="1" operator="between">
      <formula>0</formula>
      <formula>0.255</formula>
    </cfRule>
  </conditionalFormatting>
  <conditionalFormatting sqref="U135:V136">
    <cfRule type="cellIs" dxfId="5422" priority="2609" operator="between">
      <formula>0.376</formula>
      <formula>0.475</formula>
    </cfRule>
    <cfRule type="cellIs" dxfId="5421" priority="2610" operator="between">
      <formula>0.2551</formula>
      <formula>0.3751</formula>
    </cfRule>
    <cfRule type="cellIs" dxfId="5420" priority="2611" operator="greaterThan">
      <formula>0.505</formula>
    </cfRule>
    <cfRule type="cellIs" dxfId="5419" priority="2612" operator="between">
      <formula>0.48</formula>
      <formula>0.5</formula>
    </cfRule>
    <cfRule type="cellIs" dxfId="5418" priority="2613" stopIfTrue="1" operator="between">
      <formula>0</formula>
      <formula>0.255</formula>
    </cfRule>
  </conditionalFormatting>
  <conditionalFormatting sqref="AB135:AB136">
    <cfRule type="cellIs" dxfId="5417" priority="2594" operator="between">
      <formula>0.56251</formula>
      <formula>0.7125</formula>
    </cfRule>
    <cfRule type="cellIs" dxfId="5416" priority="2595" operator="between">
      <formula>0.3751</formula>
      <formula>0.5625</formula>
    </cfRule>
    <cfRule type="cellIs" dxfId="5415" priority="2596" operator="greaterThan">
      <formula>0.751</formula>
    </cfRule>
    <cfRule type="cellIs" dxfId="5414" priority="2597" operator="between">
      <formula>0.71251</formula>
      <formula>0.75</formula>
    </cfRule>
    <cfRule type="cellIs" dxfId="5413" priority="2598" stopIfTrue="1" operator="between">
      <formula>0</formula>
      <formula>0.375</formula>
    </cfRule>
  </conditionalFormatting>
  <conditionalFormatting sqref="AA135:AA136">
    <cfRule type="cellIs" dxfId="5412" priority="2604" operator="between">
      <formula>0.56251</formula>
      <formula>0.7125</formula>
    </cfRule>
    <cfRule type="cellIs" dxfId="5411" priority="2605" operator="between">
      <formula>0.3751</formula>
      <formula>0.5625</formula>
    </cfRule>
    <cfRule type="cellIs" dxfId="5410" priority="2606" operator="greaterThan">
      <formula>0.751</formula>
    </cfRule>
    <cfRule type="cellIs" dxfId="5409" priority="2607" operator="between">
      <formula>0.71251</formula>
      <formula>0.75</formula>
    </cfRule>
    <cfRule type="cellIs" dxfId="5408" priority="2608" stopIfTrue="1" operator="between">
      <formula>0</formula>
      <formula>0.375</formula>
    </cfRule>
  </conditionalFormatting>
  <conditionalFormatting sqref="AC135:AC136">
    <cfRule type="cellIs" dxfId="5407" priority="2599" operator="between">
      <formula>0.56251</formula>
      <formula>0.7125</formula>
    </cfRule>
    <cfRule type="cellIs" dxfId="5406" priority="2600" operator="between">
      <formula>0.3751</formula>
      <formula>0.5625</formula>
    </cfRule>
    <cfRule type="cellIs" dxfId="5405" priority="2601" operator="greaterThan">
      <formula>0.751</formula>
    </cfRule>
    <cfRule type="cellIs" dxfId="5404" priority="2602" operator="between">
      <formula>0.71251</formula>
      <formula>0.75</formula>
    </cfRule>
    <cfRule type="cellIs" dxfId="5403" priority="2603" stopIfTrue="1" operator="between">
      <formula>0</formula>
      <formula>0.375</formula>
    </cfRule>
  </conditionalFormatting>
  <conditionalFormatting sqref="K136">
    <cfRule type="cellIs" dxfId="5402" priority="2577" operator="between">
      <formula>0.76</formula>
      <formula>0.95</formula>
    </cfRule>
    <cfRule type="cellIs" dxfId="5401" priority="2578" operator="between">
      <formula>0.51</formula>
      <formula>0.75</formula>
    </cfRule>
    <cfRule type="cellIs" dxfId="5400" priority="2579" operator="greaterThan">
      <formula>1</formula>
    </cfRule>
    <cfRule type="cellIs" dxfId="5399" priority="2580" operator="between">
      <formula>0.95</formula>
      <formula>1</formula>
    </cfRule>
    <cfRule type="cellIs" dxfId="5398" priority="2581" stopIfTrue="1" operator="between">
      <formula>0</formula>
      <formula>0.5</formula>
    </cfRule>
  </conditionalFormatting>
  <conditionalFormatting sqref="M136">
    <cfRule type="cellIs" dxfId="5397" priority="2572" operator="between">
      <formula>0.76</formula>
      <formula>0.95</formula>
    </cfRule>
    <cfRule type="cellIs" dxfId="5396" priority="2573" operator="between">
      <formula>0.51</formula>
      <formula>0.75</formula>
    </cfRule>
    <cfRule type="cellIs" dxfId="5395" priority="2574" operator="greaterThan">
      <formula>1</formula>
    </cfRule>
    <cfRule type="cellIs" dxfId="5394" priority="2575" operator="between">
      <formula>0.96</formula>
      <formula>1</formula>
    </cfRule>
    <cfRule type="cellIs" dxfId="5393" priority="2576" stopIfTrue="1" operator="between">
      <formula>0</formula>
      <formula>0.5</formula>
    </cfRule>
  </conditionalFormatting>
  <conditionalFormatting sqref="N136">
    <cfRule type="cellIs" dxfId="5392" priority="2567" operator="between">
      <formula>0.76</formula>
      <formula>0.95</formula>
    </cfRule>
    <cfRule type="cellIs" dxfId="5391" priority="2568" operator="between">
      <formula>0.51</formula>
      <formula>0.75</formula>
    </cfRule>
    <cfRule type="cellIs" dxfId="5390" priority="2569" operator="greaterThan">
      <formula>1</formula>
    </cfRule>
    <cfRule type="cellIs" dxfId="5389" priority="2570" operator="between">
      <formula>0.96</formula>
      <formula>1</formula>
    </cfRule>
    <cfRule type="cellIs" dxfId="5388" priority="2571" stopIfTrue="1" operator="between">
      <formula>0</formula>
      <formula>0.5</formula>
    </cfRule>
  </conditionalFormatting>
  <conditionalFormatting sqref="M137:N138">
    <cfRule type="cellIs" dxfId="5387" priority="2562" operator="between">
      <formula>0.76</formula>
      <formula>0.95</formula>
    </cfRule>
    <cfRule type="cellIs" dxfId="5386" priority="2563" operator="between">
      <formula>0.51</formula>
      <formula>0.75</formula>
    </cfRule>
    <cfRule type="cellIs" dxfId="5385" priority="2564" operator="greaterThan">
      <formula>1</formula>
    </cfRule>
    <cfRule type="cellIs" dxfId="5384" priority="2565" operator="between">
      <formula>0.96</formula>
      <formula>1</formula>
    </cfRule>
    <cfRule type="cellIs" dxfId="5383" priority="2566" stopIfTrue="1" operator="between">
      <formula>0</formula>
      <formula>0.5</formula>
    </cfRule>
  </conditionalFormatting>
  <conditionalFormatting sqref="K137:K138">
    <cfRule type="cellIs" dxfId="5382" priority="2557" operator="between">
      <formula>0.76</formula>
      <formula>0.95</formula>
    </cfRule>
    <cfRule type="cellIs" dxfId="5381" priority="2558" operator="between">
      <formula>0.51</formula>
      <formula>0.75</formula>
    </cfRule>
    <cfRule type="cellIs" dxfId="5380" priority="2559" operator="greaterThan">
      <formula>1</formula>
    </cfRule>
    <cfRule type="cellIs" dxfId="5379" priority="2560" operator="between">
      <formula>0.95</formula>
      <formula>1</formula>
    </cfRule>
    <cfRule type="cellIs" dxfId="5378" priority="2561" stopIfTrue="1" operator="between">
      <formula>0</formula>
      <formula>0.5</formula>
    </cfRule>
  </conditionalFormatting>
  <conditionalFormatting sqref="R135">
    <cfRule type="cellIs" dxfId="5377" priority="2552" operator="between">
      <formula>0.76</formula>
      <formula>0.95</formula>
    </cfRule>
    <cfRule type="cellIs" dxfId="5376" priority="2553" operator="between">
      <formula>0.51</formula>
      <formula>0.75</formula>
    </cfRule>
    <cfRule type="cellIs" dxfId="5375" priority="2554" operator="greaterThan">
      <formula>1</formula>
    </cfRule>
    <cfRule type="cellIs" dxfId="5374" priority="2555" operator="between">
      <formula>0.95</formula>
      <formula>1</formula>
    </cfRule>
    <cfRule type="cellIs" dxfId="5373" priority="2556" stopIfTrue="1" operator="between">
      <formula>0</formula>
      <formula>0.5</formula>
    </cfRule>
  </conditionalFormatting>
  <conditionalFormatting sqref="Y135">
    <cfRule type="cellIs" dxfId="5372" priority="2547" operator="between">
      <formula>0.76</formula>
      <formula>0.95</formula>
    </cfRule>
    <cfRule type="cellIs" dxfId="5371" priority="2548" operator="between">
      <formula>0.51</formula>
      <formula>0.75</formula>
    </cfRule>
    <cfRule type="cellIs" dxfId="5370" priority="2549" operator="greaterThan">
      <formula>1</formula>
    </cfRule>
    <cfRule type="cellIs" dxfId="5369" priority="2550" operator="between">
      <formula>0.95</formula>
      <formula>1</formula>
    </cfRule>
    <cfRule type="cellIs" dxfId="5368" priority="2551" stopIfTrue="1" operator="between">
      <formula>0</formula>
      <formula>0.5</formula>
    </cfRule>
  </conditionalFormatting>
  <conditionalFormatting sqref="AF135">
    <cfRule type="cellIs" dxfId="5367" priority="2542" operator="between">
      <formula>0.76</formula>
      <formula>0.95</formula>
    </cfRule>
    <cfRule type="cellIs" dxfId="5366" priority="2543" operator="between">
      <formula>0.51</formula>
      <formula>0.75</formula>
    </cfRule>
    <cfRule type="cellIs" dxfId="5365" priority="2544" operator="greaterThan">
      <formula>1</formula>
    </cfRule>
    <cfRule type="cellIs" dxfId="5364" priority="2545" operator="between">
      <formula>0.95</formula>
      <formula>1</formula>
    </cfRule>
    <cfRule type="cellIs" dxfId="5363" priority="2546" stopIfTrue="1" operator="between">
      <formula>0</formula>
      <formula>0.5</formula>
    </cfRule>
  </conditionalFormatting>
  <conditionalFormatting sqref="N56">
    <cfRule type="cellIs" dxfId="5362" priority="2477" operator="between">
      <formula>0.1876</formula>
      <formula>0.2375</formula>
    </cfRule>
    <cfRule type="cellIs" dxfId="5361" priority="2478" operator="between">
      <formula>0.1251</formula>
      <formula>0.1875</formula>
    </cfRule>
    <cfRule type="cellIs" dxfId="5360" priority="2479" operator="greaterThan">
      <formula>0.25</formula>
    </cfRule>
    <cfRule type="cellIs" dxfId="5359" priority="2480" operator="between">
      <formula>0.2376</formula>
      <formula>0.25</formula>
    </cfRule>
    <cfRule type="cellIs" dxfId="5358" priority="2481" stopIfTrue="1" operator="between">
      <formula>0</formula>
      <formula>0.125</formula>
    </cfRule>
  </conditionalFormatting>
  <conditionalFormatting sqref="O56">
    <cfRule type="cellIs" dxfId="5357" priority="2472" operator="between">
      <formula>0.1876</formula>
      <formula>0.2375</formula>
    </cfRule>
    <cfRule type="cellIs" dxfId="5356" priority="2473" operator="between">
      <formula>0.1251</formula>
      <formula>0.1875</formula>
    </cfRule>
    <cfRule type="cellIs" dxfId="5355" priority="2474" operator="greaterThan">
      <formula>0.25</formula>
    </cfRule>
    <cfRule type="cellIs" dxfId="5354" priority="2475" operator="between">
      <formula>0.2376</formula>
      <formula>0.25</formula>
    </cfRule>
    <cfRule type="cellIs" dxfId="5353" priority="2476" stopIfTrue="1" operator="between">
      <formula>0</formula>
      <formula>0.125</formula>
    </cfRule>
  </conditionalFormatting>
  <conditionalFormatting sqref="M56">
    <cfRule type="cellIs" dxfId="5352" priority="2467" operator="between">
      <formula>0.1876</formula>
      <formula>0.2375</formula>
    </cfRule>
    <cfRule type="cellIs" dxfId="5351" priority="2468" operator="between">
      <formula>0.1251</formula>
      <formula>0.1875</formula>
    </cfRule>
    <cfRule type="cellIs" dxfId="5350" priority="2469" operator="greaterThan">
      <formula>0.25</formula>
    </cfRule>
    <cfRule type="cellIs" dxfId="5349" priority="2470" operator="between">
      <formula>0.2375</formula>
      <formula>0.25</formula>
    </cfRule>
    <cfRule type="cellIs" dxfId="5348" priority="2471" stopIfTrue="1" operator="between">
      <formula>0</formula>
      <formula>0.125</formula>
    </cfRule>
  </conditionalFormatting>
  <conditionalFormatting sqref="K56">
    <cfRule type="cellIs" dxfId="5347" priority="2462" operator="between">
      <formula>0.76</formula>
      <formula>0.95</formula>
    </cfRule>
    <cfRule type="cellIs" dxfId="5346" priority="2463" operator="between">
      <formula>0.51</formula>
      <formula>0.75</formula>
    </cfRule>
    <cfRule type="cellIs" dxfId="5345" priority="2464" operator="greaterThan">
      <formula>1</formula>
    </cfRule>
    <cfRule type="cellIs" dxfId="5344" priority="2465" operator="between">
      <formula>0.96</formula>
      <formula>1</formula>
    </cfRule>
    <cfRule type="cellIs" dxfId="5343" priority="2466" stopIfTrue="1" operator="between">
      <formula>0</formula>
      <formula>0.5</formula>
    </cfRule>
  </conditionalFormatting>
  <conditionalFormatting sqref="L56">
    <cfRule type="cellIs" dxfId="5342" priority="2457" operator="between">
      <formula>0.76</formula>
      <formula>0.95</formula>
    </cfRule>
    <cfRule type="cellIs" dxfId="5341" priority="2458" operator="between">
      <formula>0.51</formula>
      <formula>0.75</formula>
    </cfRule>
    <cfRule type="cellIs" dxfId="5340" priority="2459" operator="greaterThan">
      <formula>1</formula>
    </cfRule>
    <cfRule type="cellIs" dxfId="5339" priority="2460" operator="between">
      <formula>0.96</formula>
      <formula>1</formula>
    </cfRule>
    <cfRule type="cellIs" dxfId="5338" priority="2461" stopIfTrue="1" operator="between">
      <formula>0</formula>
      <formula>0.5</formula>
    </cfRule>
  </conditionalFormatting>
  <conditionalFormatting sqref="L232">
    <cfRule type="cellIs" dxfId="5337" priority="2437" operator="between">
      <formula>0.76</formula>
      <formula>0.95</formula>
    </cfRule>
    <cfRule type="cellIs" dxfId="5336" priority="2438" operator="between">
      <formula>0.51</formula>
      <formula>0.75</formula>
    </cfRule>
    <cfRule type="cellIs" dxfId="5335" priority="2439" operator="greaterThan">
      <formula>1</formula>
    </cfRule>
    <cfRule type="cellIs" dxfId="5334" priority="2440" operator="between">
      <formula>0.96</formula>
      <formula>1</formula>
    </cfRule>
    <cfRule type="cellIs" dxfId="5333" priority="2441" stopIfTrue="1" operator="between">
      <formula>0</formula>
      <formula>0.5</formula>
    </cfRule>
  </conditionalFormatting>
  <conditionalFormatting sqref="O232">
    <cfRule type="cellIs" dxfId="5332" priority="2432" operator="between">
      <formula>0.1876</formula>
      <formula>0.2375</formula>
    </cfRule>
    <cfRule type="cellIs" dxfId="5331" priority="2433" operator="between">
      <formula>0.1251</formula>
      <formula>0.1875</formula>
    </cfRule>
    <cfRule type="cellIs" dxfId="5330" priority="2434" operator="greaterThan">
      <formula>0.25</formula>
    </cfRule>
    <cfRule type="cellIs" dxfId="5329" priority="2435" operator="between">
      <formula>0.2375</formula>
      <formula>0.25</formula>
    </cfRule>
    <cfRule type="cellIs" dxfId="5328" priority="2436" stopIfTrue="1" operator="between">
      <formula>0</formula>
      <formula>0.125</formula>
    </cfRule>
  </conditionalFormatting>
  <conditionalFormatting sqref="M232:N232">
    <cfRule type="cellIs" dxfId="5327" priority="2427" operator="between">
      <formula>0.1876</formula>
      <formula>0.2375</formula>
    </cfRule>
    <cfRule type="cellIs" dxfId="5326" priority="2428" operator="between">
      <formula>0.1251</formula>
      <formula>0.1875</formula>
    </cfRule>
    <cfRule type="cellIs" dxfId="5325" priority="2429" operator="greaterThan">
      <formula>0.25</formula>
    </cfRule>
    <cfRule type="cellIs" dxfId="5324" priority="2430" operator="between">
      <formula>0.2376</formula>
      <formula>0.25</formula>
    </cfRule>
    <cfRule type="cellIs" dxfId="5323" priority="2431" stopIfTrue="1" operator="between">
      <formula>0</formula>
      <formula>0.125</formula>
    </cfRule>
  </conditionalFormatting>
  <conditionalFormatting sqref="AF232:AG232 Y232:Z232 R232:S232">
    <cfRule type="cellIs" dxfId="5322" priority="2422" operator="between">
      <formula>0.76</formula>
      <formula>0.95</formula>
    </cfRule>
    <cfRule type="cellIs" dxfId="5321" priority="2423" operator="between">
      <formula>0.51</formula>
      <formula>0.75</formula>
    </cfRule>
    <cfRule type="cellIs" dxfId="5320" priority="2424" operator="greaterThan">
      <formula>1</formula>
    </cfRule>
    <cfRule type="cellIs" dxfId="5319" priority="2425" operator="between">
      <formula>0.95</formula>
      <formula>1</formula>
    </cfRule>
    <cfRule type="cellIs" dxfId="5318" priority="2426" stopIfTrue="1" operator="between">
      <formula>0</formula>
      <formula>0.5</formula>
    </cfRule>
  </conditionalFormatting>
  <conditionalFormatting sqref="AG232">
    <cfRule type="cellIs" dxfId="5317" priority="2402" operator="between">
      <formula>0.76</formula>
      <formula>0.95</formula>
    </cfRule>
    <cfRule type="cellIs" dxfId="5316" priority="2403" operator="between">
      <formula>0.51</formula>
      <formula>0.75</formula>
    </cfRule>
    <cfRule type="cellIs" dxfId="5315" priority="2404" operator="greaterThan">
      <formula>1</formula>
    </cfRule>
    <cfRule type="cellIs" dxfId="5314" priority="2405" operator="between">
      <formula>0.95</formula>
      <formula>1</formula>
    </cfRule>
    <cfRule type="cellIs" dxfId="5313" priority="2406" stopIfTrue="1" operator="between">
      <formula>0</formula>
      <formula>0.5</formula>
    </cfRule>
  </conditionalFormatting>
  <conditionalFormatting sqref="K232:K233">
    <cfRule type="cellIs" dxfId="5312" priority="2385" operator="between">
      <formula>0.76</formula>
      <formula>0.95</formula>
    </cfRule>
    <cfRule type="cellIs" dxfId="5311" priority="2386" operator="between">
      <formula>0.51</formula>
      <formula>0.75</formula>
    </cfRule>
    <cfRule type="cellIs" dxfId="5310" priority="2387" operator="greaterThan">
      <formula>1</formula>
    </cfRule>
    <cfRule type="cellIs" dxfId="5309" priority="2388" operator="between">
      <formula>0.96</formula>
      <formula>1</formula>
    </cfRule>
    <cfRule type="cellIs" dxfId="5308" priority="2389" stopIfTrue="1" operator="between">
      <formula>0</formula>
      <formula>0.5</formula>
    </cfRule>
  </conditionalFormatting>
  <conditionalFormatting sqref="R56">
    <cfRule type="cellIs" dxfId="5307" priority="2380" operator="between">
      <formula>0.76</formula>
      <formula>0.95</formula>
    </cfRule>
    <cfRule type="cellIs" dxfId="5306" priority="2381" operator="between">
      <formula>0.51</formula>
      <formula>0.75</formula>
    </cfRule>
    <cfRule type="cellIs" dxfId="5305" priority="2382" operator="greaterThan">
      <formula>1</formula>
    </cfRule>
    <cfRule type="cellIs" dxfId="5304" priority="2383" operator="between">
      <formula>0.95</formula>
      <formula>1</formula>
    </cfRule>
    <cfRule type="cellIs" dxfId="5303" priority="2384" stopIfTrue="1" operator="between">
      <formula>0</formula>
      <formula>0.5</formula>
    </cfRule>
  </conditionalFormatting>
  <conditionalFormatting sqref="T56">
    <cfRule type="cellIs" dxfId="5302" priority="2375" operator="between">
      <formula>0.3751</formula>
      <formula>0.475</formula>
    </cfRule>
    <cfRule type="cellIs" dxfId="5301" priority="2376" operator="between">
      <formula>0.2551</formula>
      <formula>0.375</formula>
    </cfRule>
    <cfRule type="cellIs" dxfId="5300" priority="2377" operator="greaterThan">
      <formula>0.505</formula>
    </cfRule>
    <cfRule type="cellIs" dxfId="5299" priority="2378" operator="between">
      <formula>0.48</formula>
      <formula>0.5</formula>
    </cfRule>
    <cfRule type="cellIs" dxfId="5298" priority="2379" stopIfTrue="1" operator="between">
      <formula>0</formula>
      <formula>0.255</formula>
    </cfRule>
  </conditionalFormatting>
  <conditionalFormatting sqref="U56">
    <cfRule type="cellIs" dxfId="5297" priority="2370" operator="between">
      <formula>0.376</formula>
      <formula>0.475</formula>
    </cfRule>
    <cfRule type="cellIs" dxfId="5296" priority="2371" operator="between">
      <formula>0.2551</formula>
      <formula>0.3751</formula>
    </cfRule>
    <cfRule type="cellIs" dxfId="5295" priority="2372" operator="greaterThan">
      <formula>0.505</formula>
    </cfRule>
    <cfRule type="cellIs" dxfId="5294" priority="2373" operator="between">
      <formula>0.48</formula>
      <formula>0.5</formula>
    </cfRule>
    <cfRule type="cellIs" dxfId="5293" priority="2374" stopIfTrue="1" operator="between">
      <formula>0</formula>
      <formula>0.255</formula>
    </cfRule>
  </conditionalFormatting>
  <conditionalFormatting sqref="S56">
    <cfRule type="cellIs" dxfId="5292" priority="2365" operator="between">
      <formula>0.76</formula>
      <formula>0.95</formula>
    </cfRule>
    <cfRule type="cellIs" dxfId="5291" priority="2366" operator="between">
      <formula>0.51</formula>
      <formula>0.75</formula>
    </cfRule>
    <cfRule type="cellIs" dxfId="5290" priority="2367" operator="greaterThan">
      <formula>1</formula>
    </cfRule>
    <cfRule type="cellIs" dxfId="5289" priority="2368" operator="between">
      <formula>0.95</formula>
      <formula>1</formula>
    </cfRule>
    <cfRule type="cellIs" dxfId="5288" priority="2369" stopIfTrue="1" operator="between">
      <formula>0</formula>
      <formula>0.5</formula>
    </cfRule>
  </conditionalFormatting>
  <conditionalFormatting sqref="V56">
    <cfRule type="cellIs" dxfId="5287" priority="2360" operator="between">
      <formula>0.376</formula>
      <formula>0.475</formula>
    </cfRule>
    <cfRule type="cellIs" dxfId="5286" priority="2361" operator="between">
      <formula>0.2551</formula>
      <formula>0.3751</formula>
    </cfRule>
    <cfRule type="cellIs" dxfId="5285" priority="2362" operator="greaterThan">
      <formula>0.505</formula>
    </cfRule>
    <cfRule type="cellIs" dxfId="5284" priority="2363" operator="between">
      <formula>0.48</formula>
      <formula>0.5</formula>
    </cfRule>
    <cfRule type="cellIs" dxfId="5283" priority="2364" stopIfTrue="1" operator="between">
      <formula>0</formula>
      <formula>0.255</formula>
    </cfRule>
  </conditionalFormatting>
  <conditionalFormatting sqref="Y56:Z56 AF56:AI56">
    <cfRule type="cellIs" dxfId="5282" priority="2355" operator="between">
      <formula>0.76</formula>
      <formula>0.95</formula>
    </cfRule>
    <cfRule type="cellIs" dxfId="5281" priority="2356" operator="between">
      <formula>0.51</formula>
      <formula>0.75</formula>
    </cfRule>
    <cfRule type="cellIs" dxfId="5280" priority="2357" operator="greaterThan">
      <formula>1</formula>
    </cfRule>
    <cfRule type="cellIs" dxfId="5279" priority="2358" operator="between">
      <formula>0.95</formula>
      <formula>1</formula>
    </cfRule>
    <cfRule type="cellIs" dxfId="5278" priority="2359" stopIfTrue="1" operator="between">
      <formula>0</formula>
      <formula>0.5</formula>
    </cfRule>
  </conditionalFormatting>
  <conditionalFormatting sqref="AA56:AC56">
    <cfRule type="cellIs" dxfId="5277" priority="2350" operator="between">
      <formula>0.56251</formula>
      <formula>0.7125</formula>
    </cfRule>
    <cfRule type="cellIs" dxfId="5276" priority="2351" operator="between">
      <formula>0.3751</formula>
      <formula>0.5625</formula>
    </cfRule>
    <cfRule type="cellIs" dxfId="5275" priority="2352" operator="greaterThan">
      <formula>0.751</formula>
    </cfRule>
    <cfRule type="cellIs" dxfId="5274" priority="2353" operator="between">
      <formula>0.71251</formula>
      <formula>0.75</formula>
    </cfRule>
    <cfRule type="cellIs" dxfId="5273" priority="2354" stopIfTrue="1" operator="between">
      <formula>0</formula>
      <formula>0.375</formula>
    </cfRule>
  </conditionalFormatting>
  <conditionalFormatting sqref="T30">
    <cfRule type="cellIs" dxfId="5272" priority="2332" operator="between">
      <formula>0.3751</formula>
      <formula>0.475</formula>
    </cfRule>
    <cfRule type="cellIs" dxfId="5271" priority="2333" operator="between">
      <formula>0.2551</formula>
      <formula>0.375</formula>
    </cfRule>
    <cfRule type="cellIs" dxfId="5270" priority="2334" operator="greaterThan">
      <formula>0.505</formula>
    </cfRule>
    <cfRule type="cellIs" dxfId="5269" priority="2335" operator="between">
      <formula>0.48</formula>
      <formula>0.5</formula>
    </cfRule>
    <cfRule type="cellIs" dxfId="5268" priority="2336" stopIfTrue="1" operator="between">
      <formula>0</formula>
      <formula>0.255</formula>
    </cfRule>
  </conditionalFormatting>
  <conditionalFormatting sqref="U30">
    <cfRule type="cellIs" dxfId="5267" priority="2327" operator="between">
      <formula>0.376</formula>
      <formula>0.475</formula>
    </cfRule>
    <cfRule type="cellIs" dxfId="5266" priority="2328" operator="between">
      <formula>0.2551</formula>
      <formula>0.3751</formula>
    </cfRule>
    <cfRule type="cellIs" dxfId="5265" priority="2329" operator="greaterThan">
      <formula>0.505</formula>
    </cfRule>
    <cfRule type="cellIs" dxfId="5264" priority="2330" operator="between">
      <formula>0.48</formula>
      <formula>0.5</formula>
    </cfRule>
    <cfRule type="cellIs" dxfId="5263" priority="2331" stopIfTrue="1" operator="between">
      <formula>0</formula>
      <formula>0.255</formula>
    </cfRule>
  </conditionalFormatting>
  <conditionalFormatting sqref="V30">
    <cfRule type="cellIs" dxfId="5262" priority="2322" operator="between">
      <formula>0.376</formula>
      <formula>0.475</formula>
    </cfRule>
    <cfRule type="cellIs" dxfId="5261" priority="2323" operator="between">
      <formula>0.2551</formula>
      <formula>0.3751</formula>
    </cfRule>
    <cfRule type="cellIs" dxfId="5260" priority="2324" operator="greaterThan">
      <formula>0.505</formula>
    </cfRule>
    <cfRule type="cellIs" dxfId="5259" priority="2325" operator="between">
      <formula>0.48</formula>
      <formula>0.5</formula>
    </cfRule>
    <cfRule type="cellIs" dxfId="5258" priority="2326" stopIfTrue="1" operator="between">
      <formula>0</formula>
      <formula>0.255</formula>
    </cfRule>
  </conditionalFormatting>
  <conditionalFormatting sqref="AA30:AB30">
    <cfRule type="cellIs" dxfId="5257" priority="2317" operator="between">
      <formula>0.56251</formula>
      <formula>0.7125</formula>
    </cfRule>
    <cfRule type="cellIs" dxfId="5256" priority="2318" operator="between">
      <formula>0.3751</formula>
      <formula>0.5625</formula>
    </cfRule>
    <cfRule type="cellIs" dxfId="5255" priority="2319" operator="greaterThan">
      <formula>0.751</formula>
    </cfRule>
    <cfRule type="cellIs" dxfId="5254" priority="2320" operator="between">
      <formula>0.71251</formula>
      <formula>0.75</formula>
    </cfRule>
    <cfRule type="cellIs" dxfId="5253" priority="2321" stopIfTrue="1" operator="between">
      <formula>0</formula>
      <formula>0.375</formula>
    </cfRule>
  </conditionalFormatting>
  <conditionalFormatting sqref="AC30">
    <cfRule type="cellIs" dxfId="5252" priority="2312" operator="between">
      <formula>0.56251</formula>
      <formula>0.7125</formula>
    </cfRule>
    <cfRule type="cellIs" dxfId="5251" priority="2313" operator="between">
      <formula>0.3751</formula>
      <formula>0.5625</formula>
    </cfRule>
    <cfRule type="cellIs" dxfId="5250" priority="2314" operator="greaterThan">
      <formula>0.751</formula>
    </cfRule>
    <cfRule type="cellIs" dxfId="5249" priority="2315" operator="between">
      <formula>0.71251</formula>
      <formula>0.75</formula>
    </cfRule>
    <cfRule type="cellIs" dxfId="5248" priority="2316" stopIfTrue="1" operator="between">
      <formula>0</formula>
      <formula>0.375</formula>
    </cfRule>
  </conditionalFormatting>
  <conditionalFormatting sqref="AH30:AI30">
    <cfRule type="cellIs" dxfId="5247" priority="2307" operator="between">
      <formula>0.76</formula>
      <formula>0.95</formula>
    </cfRule>
    <cfRule type="cellIs" dxfId="5246" priority="2308" operator="between">
      <formula>0.51</formula>
      <formula>0.75</formula>
    </cfRule>
    <cfRule type="cellIs" dxfId="5245" priority="2309" operator="greaterThan">
      <formula>1</formula>
    </cfRule>
    <cfRule type="cellIs" dxfId="5244" priority="2310" operator="between">
      <formula>0.95</formula>
      <formula>1</formula>
    </cfRule>
    <cfRule type="cellIs" dxfId="5243" priority="2311" stopIfTrue="1" operator="between">
      <formula>0</formula>
      <formula>0.5</formula>
    </cfRule>
  </conditionalFormatting>
  <conditionalFormatting sqref="T54">
    <cfRule type="cellIs" dxfId="5242" priority="2302" operator="between">
      <formula>0.3751</formula>
      <formula>0.475</formula>
    </cfRule>
    <cfRule type="cellIs" dxfId="5241" priority="2303" operator="between">
      <formula>0.2551</formula>
      <formula>0.375</formula>
    </cfRule>
    <cfRule type="cellIs" dxfId="5240" priority="2304" operator="greaterThan">
      <formula>0.505</formula>
    </cfRule>
    <cfRule type="cellIs" dxfId="5239" priority="2305" operator="between">
      <formula>0.48</formula>
      <formula>0.5</formula>
    </cfRule>
    <cfRule type="cellIs" dxfId="5238" priority="2306" stopIfTrue="1" operator="between">
      <formula>0</formula>
      <formula>0.255</formula>
    </cfRule>
  </conditionalFormatting>
  <conditionalFormatting sqref="U54">
    <cfRule type="cellIs" dxfId="5237" priority="2297" operator="between">
      <formula>0.376</formula>
      <formula>0.475</formula>
    </cfRule>
    <cfRule type="cellIs" dxfId="5236" priority="2298" operator="between">
      <formula>0.2551</formula>
      <formula>0.3751</formula>
    </cfRule>
    <cfRule type="cellIs" dxfId="5235" priority="2299" operator="greaterThan">
      <formula>0.505</formula>
    </cfRule>
    <cfRule type="cellIs" dxfId="5234" priority="2300" operator="between">
      <formula>0.48</formula>
      <formula>0.5</formula>
    </cfRule>
    <cfRule type="cellIs" dxfId="5233" priority="2301" stopIfTrue="1" operator="between">
      <formula>0</formula>
      <formula>0.255</formula>
    </cfRule>
  </conditionalFormatting>
  <conditionalFormatting sqref="V54">
    <cfRule type="cellIs" dxfId="5232" priority="2292" operator="between">
      <formula>0.376</formula>
      <formula>0.475</formula>
    </cfRule>
    <cfRule type="cellIs" dxfId="5231" priority="2293" operator="between">
      <formula>0.2551</formula>
      <formula>0.3751</formula>
    </cfRule>
    <cfRule type="cellIs" dxfId="5230" priority="2294" operator="greaterThan">
      <formula>0.505</formula>
    </cfRule>
    <cfRule type="cellIs" dxfId="5229" priority="2295" operator="between">
      <formula>0.48</formula>
      <formula>0.5</formula>
    </cfRule>
    <cfRule type="cellIs" dxfId="5228" priority="2296" stopIfTrue="1" operator="between">
      <formula>0</formula>
      <formula>0.255</formula>
    </cfRule>
  </conditionalFormatting>
  <conditionalFormatting sqref="AA54:AC54">
    <cfRule type="cellIs" dxfId="5227" priority="2287" operator="between">
      <formula>0.56251</formula>
      <formula>0.7125</formula>
    </cfRule>
    <cfRule type="cellIs" dxfId="5226" priority="2288" operator="between">
      <formula>0.3751</formula>
      <formula>0.5625</formula>
    </cfRule>
    <cfRule type="cellIs" dxfId="5225" priority="2289" operator="greaterThan">
      <formula>0.751</formula>
    </cfRule>
    <cfRule type="cellIs" dxfId="5224" priority="2290" operator="between">
      <formula>0.71251</formula>
      <formula>0.75</formula>
    </cfRule>
    <cfRule type="cellIs" dxfId="5223" priority="2291" stopIfTrue="1" operator="between">
      <formula>0</formula>
      <formula>0.375</formula>
    </cfRule>
  </conditionalFormatting>
  <conditionalFormatting sqref="AH54:AI54">
    <cfRule type="cellIs" dxfId="5222" priority="2282" operator="between">
      <formula>0.76</formula>
      <formula>0.95</formula>
    </cfRule>
    <cfRule type="cellIs" dxfId="5221" priority="2283" operator="between">
      <formula>0.51</formula>
      <formula>0.75</formula>
    </cfRule>
    <cfRule type="cellIs" dxfId="5220" priority="2284" operator="greaterThan">
      <formula>1</formula>
    </cfRule>
    <cfRule type="cellIs" dxfId="5219" priority="2285" operator="between">
      <formula>0.95</formula>
      <formula>1</formula>
    </cfRule>
    <cfRule type="cellIs" dxfId="5218" priority="2286" stopIfTrue="1" operator="between">
      <formula>0</formula>
      <formula>0.5</formula>
    </cfRule>
  </conditionalFormatting>
  <conditionalFormatting sqref="T159">
    <cfRule type="cellIs" dxfId="5217" priority="2267" operator="between">
      <formula>0.3751</formula>
      <formula>0.475</formula>
    </cfRule>
    <cfRule type="cellIs" dxfId="5216" priority="2268" operator="between">
      <formula>0.2551</formula>
      <formula>0.375</formula>
    </cfRule>
    <cfRule type="cellIs" dxfId="5215" priority="2269" operator="greaterThan">
      <formula>0.505</formula>
    </cfRule>
    <cfRule type="cellIs" dxfId="5214" priority="2270" operator="between">
      <formula>0.48</formula>
      <formula>0.5</formula>
    </cfRule>
    <cfRule type="cellIs" dxfId="5213" priority="2271" stopIfTrue="1" operator="between">
      <formula>0</formula>
      <formula>0.255</formula>
    </cfRule>
  </conditionalFormatting>
  <conditionalFormatting sqref="U159">
    <cfRule type="cellIs" dxfId="5212" priority="2262" operator="between">
      <formula>0.376</formula>
      <formula>0.475</formula>
    </cfRule>
    <cfRule type="cellIs" dxfId="5211" priority="2263" operator="between">
      <formula>0.2551</formula>
      <formula>0.3751</formula>
    </cfRule>
    <cfRule type="cellIs" dxfId="5210" priority="2264" operator="greaterThan">
      <formula>0.505</formula>
    </cfRule>
    <cfRule type="cellIs" dxfId="5209" priority="2265" operator="between">
      <formula>0.48</formula>
      <formula>0.5</formula>
    </cfRule>
    <cfRule type="cellIs" dxfId="5208" priority="2266" stopIfTrue="1" operator="between">
      <formula>0</formula>
      <formula>0.255</formula>
    </cfRule>
  </conditionalFormatting>
  <conditionalFormatting sqref="V159">
    <cfRule type="cellIs" dxfId="5207" priority="2257" operator="between">
      <formula>0.376</formula>
      <formula>0.475</formula>
    </cfRule>
    <cfRule type="cellIs" dxfId="5206" priority="2258" operator="between">
      <formula>0.2551</formula>
      <formula>0.3751</formula>
    </cfRule>
    <cfRule type="cellIs" dxfId="5205" priority="2259" operator="greaterThan">
      <formula>0.505</formula>
    </cfRule>
    <cfRule type="cellIs" dxfId="5204" priority="2260" operator="between">
      <formula>0.48</formula>
      <formula>0.5</formula>
    </cfRule>
    <cfRule type="cellIs" dxfId="5203" priority="2261" stopIfTrue="1" operator="between">
      <formula>0</formula>
      <formula>0.255</formula>
    </cfRule>
  </conditionalFormatting>
  <conditionalFormatting sqref="AA159:AB159">
    <cfRule type="cellIs" dxfId="5202" priority="2252" operator="between">
      <formula>0.56251</formula>
      <formula>0.7125</formula>
    </cfRule>
    <cfRule type="cellIs" dxfId="5201" priority="2253" operator="between">
      <formula>0.3751</formula>
      <formula>0.5625</formula>
    </cfRule>
    <cfRule type="cellIs" dxfId="5200" priority="2254" operator="greaterThan">
      <formula>0.751</formula>
    </cfRule>
    <cfRule type="cellIs" dxfId="5199" priority="2255" operator="between">
      <formula>0.71251</formula>
      <formula>0.75</formula>
    </cfRule>
    <cfRule type="cellIs" dxfId="5198" priority="2256" stopIfTrue="1" operator="between">
      <formula>0</formula>
      <formula>0.375</formula>
    </cfRule>
  </conditionalFormatting>
  <conditionalFormatting sqref="AC159">
    <cfRule type="cellIs" dxfId="5197" priority="2247" operator="between">
      <formula>0.56251</formula>
      <formula>0.7125</formula>
    </cfRule>
    <cfRule type="cellIs" dxfId="5196" priority="2248" operator="between">
      <formula>0.3751</formula>
      <formula>0.5625</formula>
    </cfRule>
    <cfRule type="cellIs" dxfId="5195" priority="2249" operator="greaterThan">
      <formula>0.751</formula>
    </cfRule>
    <cfRule type="cellIs" dxfId="5194" priority="2250" operator="between">
      <formula>0.71251</formula>
      <formula>0.75</formula>
    </cfRule>
    <cfRule type="cellIs" dxfId="5193" priority="2251" stopIfTrue="1" operator="between">
      <formula>0</formula>
      <formula>0.375</formula>
    </cfRule>
  </conditionalFormatting>
  <conditionalFormatting sqref="AH159:AI159">
    <cfRule type="cellIs" dxfId="5192" priority="2242" operator="between">
      <formula>0.76</formula>
      <formula>0.95</formula>
    </cfRule>
    <cfRule type="cellIs" dxfId="5191" priority="2243" operator="between">
      <formula>0.51</formula>
      <formula>0.75</formula>
    </cfRule>
    <cfRule type="cellIs" dxfId="5190" priority="2244" operator="greaterThan">
      <formula>1</formula>
    </cfRule>
    <cfRule type="cellIs" dxfId="5189" priority="2245" operator="between">
      <formula>0.96</formula>
      <formula>1</formula>
    </cfRule>
    <cfRule type="cellIs" dxfId="5188" priority="2246" stopIfTrue="1" operator="between">
      <formula>0</formula>
      <formula>0.5</formula>
    </cfRule>
  </conditionalFormatting>
  <conditionalFormatting sqref="AF65:AI65 R65 Y65">
    <cfRule type="cellIs" dxfId="5187" priority="2197" operator="between">
      <formula>0.76</formula>
      <formula>0.95</formula>
    </cfRule>
    <cfRule type="cellIs" dxfId="5186" priority="2198" operator="between">
      <formula>0.51</formula>
      <formula>0.75</formula>
    </cfRule>
    <cfRule type="cellIs" dxfId="5185" priority="2199" operator="greaterThan">
      <formula>1</formula>
    </cfRule>
    <cfRule type="cellIs" dxfId="5184" priority="2200" operator="between">
      <formula>0.95</formula>
      <formula>1</formula>
    </cfRule>
    <cfRule type="cellIs" dxfId="5183" priority="2201" stopIfTrue="1" operator="between">
      <formula>0</formula>
      <formula>0.5</formula>
    </cfRule>
  </conditionalFormatting>
  <conditionalFormatting sqref="T65">
    <cfRule type="cellIs" dxfId="5182" priority="2192" operator="between">
      <formula>0.3751</formula>
      <formula>0.475</formula>
    </cfRule>
    <cfRule type="cellIs" dxfId="5181" priority="2193" operator="between">
      <formula>0.2551</formula>
      <formula>0.375</formula>
    </cfRule>
    <cfRule type="cellIs" dxfId="5180" priority="2194" operator="greaterThan">
      <formula>0.505</formula>
    </cfRule>
    <cfRule type="cellIs" dxfId="5179" priority="2195" operator="between">
      <formula>0.48</formula>
      <formula>0.5</formula>
    </cfRule>
    <cfRule type="cellIs" dxfId="5178" priority="2196" stopIfTrue="1" operator="between">
      <formula>0</formula>
      <formula>0.255</formula>
    </cfRule>
  </conditionalFormatting>
  <conditionalFormatting sqref="AA65:AB65">
    <cfRule type="cellIs" dxfId="5177" priority="2187" operator="between">
      <formula>0.56251</formula>
      <formula>0.7125</formula>
    </cfRule>
    <cfRule type="cellIs" dxfId="5176" priority="2188" operator="between">
      <formula>0.3751</formula>
      <formula>0.5625</formula>
    </cfRule>
    <cfRule type="cellIs" dxfId="5175" priority="2189" operator="greaterThan">
      <formula>0.751</formula>
    </cfRule>
    <cfRule type="cellIs" dxfId="5174" priority="2190" operator="between">
      <formula>0.71251</formula>
      <formula>0.75</formula>
    </cfRule>
    <cfRule type="cellIs" dxfId="5173" priority="2191" stopIfTrue="1" operator="between">
      <formula>0</formula>
      <formula>0.375</formula>
    </cfRule>
  </conditionalFormatting>
  <conditionalFormatting sqref="U65">
    <cfRule type="cellIs" dxfId="5172" priority="2182" operator="between">
      <formula>0.376</formula>
      <formula>0.475</formula>
    </cfRule>
    <cfRule type="cellIs" dxfId="5171" priority="2183" operator="between">
      <formula>0.2551</formula>
      <formula>0.3751</formula>
    </cfRule>
    <cfRule type="cellIs" dxfId="5170" priority="2184" operator="greaterThan">
      <formula>0.505</formula>
    </cfRule>
    <cfRule type="cellIs" dxfId="5169" priority="2185" operator="between">
      <formula>0.48</formula>
      <formula>0.5</formula>
    </cfRule>
    <cfRule type="cellIs" dxfId="5168" priority="2186" stopIfTrue="1" operator="between">
      <formula>0</formula>
      <formula>0.255</formula>
    </cfRule>
  </conditionalFormatting>
  <conditionalFormatting sqref="Z65">
    <cfRule type="cellIs" dxfId="5167" priority="2162" operator="between">
      <formula>0.76</formula>
      <formula>0.95</formula>
    </cfRule>
    <cfRule type="cellIs" dxfId="5166" priority="2163" operator="between">
      <formula>0.51</formula>
      <formula>0.75</formula>
    </cfRule>
    <cfRule type="cellIs" dxfId="5165" priority="2164" operator="greaterThan">
      <formula>1</formula>
    </cfRule>
    <cfRule type="cellIs" dxfId="5164" priority="2165" operator="between">
      <formula>0.95</formula>
      <formula>1</formula>
    </cfRule>
    <cfRule type="cellIs" dxfId="5163" priority="2166" stopIfTrue="1" operator="between">
      <formula>0</formula>
      <formula>0.5</formula>
    </cfRule>
  </conditionalFormatting>
  <conditionalFormatting sqref="AC65">
    <cfRule type="cellIs" dxfId="5162" priority="2157" operator="between">
      <formula>0.56251</formula>
      <formula>0.7125</formula>
    </cfRule>
    <cfRule type="cellIs" dxfId="5161" priority="2158" operator="between">
      <formula>0.3751</formula>
      <formula>0.5625</formula>
    </cfRule>
    <cfRule type="cellIs" dxfId="5160" priority="2159" operator="greaterThan">
      <formula>0.751</formula>
    </cfRule>
    <cfRule type="cellIs" dxfId="5159" priority="2160" operator="between">
      <formula>0.71251</formula>
      <formula>0.75</formula>
    </cfRule>
    <cfRule type="cellIs" dxfId="5158" priority="2161" stopIfTrue="1" operator="between">
      <formula>0</formula>
      <formula>0.375</formula>
    </cfRule>
  </conditionalFormatting>
  <conditionalFormatting sqref="S65">
    <cfRule type="cellIs" dxfId="5157" priority="2152" operator="between">
      <formula>0.76</formula>
      <formula>0.95</formula>
    </cfRule>
    <cfRule type="cellIs" dxfId="5156" priority="2153" operator="between">
      <formula>0.51</formula>
      <formula>0.75</formula>
    </cfRule>
    <cfRule type="cellIs" dxfId="5155" priority="2154" operator="greaterThan">
      <formula>1</formula>
    </cfRule>
    <cfRule type="cellIs" dxfId="5154" priority="2155" operator="between">
      <formula>0.95</formula>
      <formula>1</formula>
    </cfRule>
    <cfRule type="cellIs" dxfId="5153" priority="2156" stopIfTrue="1" operator="between">
      <formula>0</formula>
      <formula>0.5</formula>
    </cfRule>
  </conditionalFormatting>
  <conditionalFormatting sqref="V65">
    <cfRule type="cellIs" dxfId="5152" priority="2147" operator="between">
      <formula>0.376</formula>
      <formula>0.475</formula>
    </cfRule>
    <cfRule type="cellIs" dxfId="5151" priority="2148" operator="between">
      <formula>0.2551</formula>
      <formula>0.3751</formula>
    </cfRule>
    <cfRule type="cellIs" dxfId="5150" priority="2149" operator="greaterThan">
      <formula>0.505</formula>
    </cfRule>
    <cfRule type="cellIs" dxfId="5149" priority="2150" operator="between">
      <formula>0.48</formula>
      <formula>0.5</formula>
    </cfRule>
    <cfRule type="cellIs" dxfId="5148" priority="2151" stopIfTrue="1" operator="between">
      <formula>0</formula>
      <formula>0.255</formula>
    </cfRule>
  </conditionalFormatting>
  <conditionalFormatting sqref="O65">
    <cfRule type="cellIs" dxfId="5147" priority="2137" operator="between">
      <formula>0.1876</formula>
      <formula>0.2375</formula>
    </cfRule>
    <cfRule type="cellIs" dxfId="5146" priority="2138" operator="between">
      <formula>0.1251</formula>
      <formula>0.1875</formula>
    </cfRule>
    <cfRule type="cellIs" dxfId="5145" priority="2139" operator="greaterThan">
      <formula>0.25</formula>
    </cfRule>
    <cfRule type="cellIs" dxfId="5144" priority="2140" operator="between">
      <formula>0.2376</formula>
      <formula>0.25</formula>
    </cfRule>
    <cfRule type="cellIs" dxfId="5143" priority="2141" stopIfTrue="1" operator="between">
      <formula>0</formula>
      <formula>0.125</formula>
    </cfRule>
  </conditionalFormatting>
  <conditionalFormatting sqref="K65">
    <cfRule type="cellIs" dxfId="5142" priority="2127" operator="between">
      <formula>0.76</formula>
      <formula>0.95</formula>
    </cfRule>
    <cfRule type="cellIs" dxfId="5141" priority="2128" operator="between">
      <formula>0.51</formula>
      <formula>0.75</formula>
    </cfRule>
    <cfRule type="cellIs" dxfId="5140" priority="2129" operator="greaterThan">
      <formula>1</formula>
    </cfRule>
    <cfRule type="cellIs" dxfId="5139" priority="2130" operator="between">
      <formula>0.96</formula>
      <formula>1</formula>
    </cfRule>
    <cfRule type="cellIs" dxfId="5138" priority="2131" stopIfTrue="1" operator="between">
      <formula>0</formula>
      <formula>0.5</formula>
    </cfRule>
  </conditionalFormatting>
  <conditionalFormatting sqref="L65">
    <cfRule type="cellIs" dxfId="5137" priority="2122" operator="between">
      <formula>0.76</formula>
      <formula>0.95</formula>
    </cfRule>
    <cfRule type="cellIs" dxfId="5136" priority="2123" operator="between">
      <formula>0.51</formula>
      <formula>0.75</formula>
    </cfRule>
    <cfRule type="cellIs" dxfId="5135" priority="2124" operator="greaterThan">
      <formula>1</formula>
    </cfRule>
    <cfRule type="cellIs" dxfId="5134" priority="2125" operator="between">
      <formula>0.96</formula>
      <formula>1</formula>
    </cfRule>
    <cfRule type="cellIs" dxfId="5133" priority="2126" stopIfTrue="1" operator="between">
      <formula>0</formula>
      <formula>0.5</formula>
    </cfRule>
  </conditionalFormatting>
  <conditionalFormatting sqref="M65">
    <cfRule type="cellIs" dxfId="5132" priority="2117" operator="between">
      <formula>0.76</formula>
      <formula>0.95</formula>
    </cfRule>
    <cfRule type="cellIs" dxfId="5131" priority="2118" operator="between">
      <formula>0.51</formula>
      <formula>0.75</formula>
    </cfRule>
    <cfRule type="cellIs" dxfId="5130" priority="2119" operator="greaterThan">
      <formula>1</formula>
    </cfRule>
    <cfRule type="cellIs" dxfId="5129" priority="2120" operator="between">
      <formula>0.96</formula>
      <formula>1</formula>
    </cfRule>
    <cfRule type="cellIs" dxfId="5128" priority="2121" stopIfTrue="1" operator="between">
      <formula>0</formula>
      <formula>0.5</formula>
    </cfRule>
  </conditionalFormatting>
  <conditionalFormatting sqref="N65">
    <cfRule type="cellIs" dxfId="5127" priority="2112" operator="between">
      <formula>0.76</formula>
      <formula>0.95</formula>
    </cfRule>
    <cfRule type="cellIs" dxfId="5126" priority="2113" operator="between">
      <formula>0.51</formula>
      <formula>0.75</formula>
    </cfRule>
    <cfRule type="cellIs" dxfId="5125" priority="2114" operator="greaterThan">
      <formula>1</formula>
    </cfRule>
    <cfRule type="cellIs" dxfId="5124" priority="2115" operator="between">
      <formula>0.96</formula>
      <formula>1</formula>
    </cfRule>
    <cfRule type="cellIs" dxfId="5123" priority="2116" stopIfTrue="1" operator="between">
      <formula>0</formula>
      <formula>0.5</formula>
    </cfRule>
  </conditionalFormatting>
  <conditionalFormatting sqref="T311">
    <cfRule type="cellIs" dxfId="5122" priority="2107" operator="between">
      <formula>0.3751</formula>
      <formula>0.475</formula>
    </cfRule>
    <cfRule type="cellIs" dxfId="5121" priority="2108" operator="between">
      <formula>0.2551</formula>
      <formula>0.375</formula>
    </cfRule>
    <cfRule type="cellIs" dxfId="5120" priority="2109" operator="greaterThan">
      <formula>0.505</formula>
    </cfRule>
    <cfRule type="cellIs" dxfId="5119" priority="2110" operator="between">
      <formula>0.48</formula>
      <formula>0.5</formula>
    </cfRule>
    <cfRule type="cellIs" dxfId="5118" priority="2111" stopIfTrue="1" operator="between">
      <formula>0</formula>
      <formula>0.255</formula>
    </cfRule>
  </conditionalFormatting>
  <conditionalFormatting sqref="U311">
    <cfRule type="cellIs" dxfId="5117" priority="2102" operator="between">
      <formula>0.376</formula>
      <formula>0.475</formula>
    </cfRule>
    <cfRule type="cellIs" dxfId="5116" priority="2103" operator="between">
      <formula>0.2551</formula>
      <formula>0.3751</formula>
    </cfRule>
    <cfRule type="cellIs" dxfId="5115" priority="2104" operator="greaterThan">
      <formula>0.505</formula>
    </cfRule>
    <cfRule type="cellIs" dxfId="5114" priority="2105" operator="between">
      <formula>0.48</formula>
      <formula>0.5</formula>
    </cfRule>
    <cfRule type="cellIs" dxfId="5113" priority="2106" stopIfTrue="1" operator="between">
      <formula>0</formula>
      <formula>0.255</formula>
    </cfRule>
  </conditionalFormatting>
  <conditionalFormatting sqref="K355:L355">
    <cfRule type="cellIs" dxfId="5112" priority="2097" operator="between">
      <formula>0.76</formula>
      <formula>0.95</formula>
    </cfRule>
    <cfRule type="cellIs" dxfId="5111" priority="2098" operator="between">
      <formula>0.51</formula>
      <formula>0.75</formula>
    </cfRule>
    <cfRule type="cellIs" dxfId="5110" priority="2099" operator="greaterThan">
      <formula>1</formula>
    </cfRule>
    <cfRule type="cellIs" dxfId="5109" priority="2100" operator="between">
      <formula>0.96</formula>
      <formula>1</formula>
    </cfRule>
    <cfRule type="cellIs" dxfId="5108" priority="2101" stopIfTrue="1" operator="between">
      <formula>0</formula>
      <formula>0.5</formula>
    </cfRule>
  </conditionalFormatting>
  <conditionalFormatting sqref="O355">
    <cfRule type="cellIs" dxfId="5107" priority="2092" operator="between">
      <formula>0.1876</formula>
      <formula>0.2375</formula>
    </cfRule>
    <cfRule type="cellIs" dxfId="5106" priority="2093" operator="between">
      <formula>0.1251</formula>
      <formula>0.1875</formula>
    </cfRule>
    <cfRule type="cellIs" dxfId="5105" priority="2094" operator="greaterThan">
      <formula>0.25</formula>
    </cfRule>
    <cfRule type="cellIs" dxfId="5104" priority="2095" operator="between">
      <formula>0.2375</formula>
      <formula>0.25</formula>
    </cfRule>
    <cfRule type="cellIs" dxfId="5103" priority="2096" stopIfTrue="1" operator="between">
      <formula>0</formula>
      <formula>0.125</formula>
    </cfRule>
  </conditionalFormatting>
  <conditionalFormatting sqref="M355:N355">
    <cfRule type="cellIs" dxfId="5102" priority="2087" operator="between">
      <formula>0.1876</formula>
      <formula>0.2375</formula>
    </cfRule>
    <cfRule type="cellIs" dxfId="5101" priority="2088" operator="between">
      <formula>0.1251</formula>
      <formula>0.1875</formula>
    </cfRule>
    <cfRule type="cellIs" dxfId="5100" priority="2089" operator="greaterThan">
      <formula>0.25</formula>
    </cfRule>
    <cfRule type="cellIs" dxfId="5099" priority="2090" operator="between">
      <formula>0.2376</formula>
      <formula>0.25</formula>
    </cfRule>
    <cfRule type="cellIs" dxfId="5098" priority="2091" stopIfTrue="1" operator="between">
      <formula>0</formula>
      <formula>0.125</formula>
    </cfRule>
  </conditionalFormatting>
  <conditionalFormatting sqref="AI355">
    <cfRule type="cellIs" dxfId="5097" priority="1997" operator="between">
      <formula>0.76</formula>
      <formula>0.95</formula>
    </cfRule>
    <cfRule type="cellIs" dxfId="5096" priority="1998" operator="between">
      <formula>0.51</formula>
      <formula>0.75</formula>
    </cfRule>
    <cfRule type="cellIs" dxfId="5095" priority="1999" operator="greaterThan">
      <formula>1</formula>
    </cfRule>
    <cfRule type="cellIs" dxfId="5094" priority="2000" operator="between">
      <formula>0.95</formula>
      <formula>1</formula>
    </cfRule>
    <cfRule type="cellIs" dxfId="5093" priority="2001" stopIfTrue="1" operator="between">
      <formula>0</formula>
      <formula>0.5</formula>
    </cfRule>
  </conditionalFormatting>
  <conditionalFormatting sqref="R355">
    <cfRule type="cellIs" dxfId="5092" priority="1992" operator="between">
      <formula>0.76</formula>
      <formula>0.95</formula>
    </cfRule>
    <cfRule type="cellIs" dxfId="5091" priority="1993" operator="between">
      <formula>0.51</formula>
      <formula>0.75</formula>
    </cfRule>
    <cfRule type="cellIs" dxfId="5090" priority="1994" operator="greaterThan">
      <formula>1</formula>
    </cfRule>
    <cfRule type="cellIs" dxfId="5089" priority="1995" operator="between">
      <formula>0.95</formula>
      <formula>1</formula>
    </cfRule>
    <cfRule type="cellIs" dxfId="5088" priority="1996" stopIfTrue="1" operator="between">
      <formula>0</formula>
      <formula>0.5</formula>
    </cfRule>
  </conditionalFormatting>
  <conditionalFormatting sqref="Y355">
    <cfRule type="cellIs" dxfId="5087" priority="1987" operator="between">
      <formula>0.76</formula>
      <formula>0.95</formula>
    </cfRule>
    <cfRule type="cellIs" dxfId="5086" priority="1988" operator="between">
      <formula>0.51</formula>
      <formula>0.75</formula>
    </cfRule>
    <cfRule type="cellIs" dxfId="5085" priority="1989" operator="greaterThan">
      <formula>1</formula>
    </cfRule>
    <cfRule type="cellIs" dxfId="5084" priority="1990" operator="between">
      <formula>0.95</formula>
      <formula>1</formula>
    </cfRule>
    <cfRule type="cellIs" dxfId="5083" priority="1991" stopIfTrue="1" operator="between">
      <formula>0</formula>
      <formula>0.5</formula>
    </cfRule>
  </conditionalFormatting>
  <conditionalFormatting sqref="AF355">
    <cfRule type="cellIs" dxfId="5082" priority="1982" operator="between">
      <formula>0.76</formula>
      <formula>0.95</formula>
    </cfRule>
    <cfRule type="cellIs" dxfId="5081" priority="1983" operator="between">
      <formula>0.51</formula>
      <formula>0.75</formula>
    </cfRule>
    <cfRule type="cellIs" dxfId="5080" priority="1984" operator="greaterThan">
      <formula>1</formula>
    </cfRule>
    <cfRule type="cellIs" dxfId="5079" priority="1985" operator="between">
      <formula>0.95</formula>
      <formula>1</formula>
    </cfRule>
    <cfRule type="cellIs" dxfId="5078" priority="1986" stopIfTrue="1" operator="between">
      <formula>0</formula>
      <formula>0.5</formula>
    </cfRule>
  </conditionalFormatting>
  <conditionalFormatting sqref="AH355">
    <cfRule type="cellIs" dxfId="5077" priority="1977" operator="between">
      <formula>0.76</formula>
      <formula>0.95</formula>
    </cfRule>
    <cfRule type="cellIs" dxfId="5076" priority="1978" operator="between">
      <formula>0.51</formula>
      <formula>0.75</formula>
    </cfRule>
    <cfRule type="cellIs" dxfId="5075" priority="1979" operator="greaterThan">
      <formula>1</formula>
    </cfRule>
    <cfRule type="cellIs" dxfId="5074" priority="1980" operator="between">
      <formula>0.95</formula>
      <formula>1</formula>
    </cfRule>
    <cfRule type="cellIs" dxfId="5073" priority="1981" stopIfTrue="1" operator="between">
      <formula>0</formula>
      <formula>0.5</formula>
    </cfRule>
  </conditionalFormatting>
  <conditionalFormatting sqref="T355">
    <cfRule type="cellIs" dxfId="5072" priority="1972" operator="between">
      <formula>0.3751</formula>
      <formula>0.475</formula>
    </cfRule>
    <cfRule type="cellIs" dxfId="5071" priority="1973" operator="between">
      <formula>0.2551</formula>
      <formula>0.375</formula>
    </cfRule>
    <cfRule type="cellIs" dxfId="5070" priority="1974" operator="greaterThan">
      <formula>0.505</formula>
    </cfRule>
    <cfRule type="cellIs" dxfId="5069" priority="1975" operator="between">
      <formula>0.48</formula>
      <formula>0.5</formula>
    </cfRule>
    <cfRule type="cellIs" dxfId="5068" priority="1976" stopIfTrue="1" operator="between">
      <formula>0</formula>
      <formula>0.255</formula>
    </cfRule>
  </conditionalFormatting>
  <conditionalFormatting sqref="U355">
    <cfRule type="cellIs" dxfId="5067" priority="1967" operator="between">
      <formula>0.376</formula>
      <formula>0.475</formula>
    </cfRule>
    <cfRule type="cellIs" dxfId="5066" priority="1968" operator="between">
      <formula>0.2551</formula>
      <formula>0.3751</formula>
    </cfRule>
    <cfRule type="cellIs" dxfId="5065" priority="1969" operator="greaterThan">
      <formula>0.505</formula>
    </cfRule>
    <cfRule type="cellIs" dxfId="5064" priority="1970" operator="between">
      <formula>0.48</formula>
      <formula>0.5</formula>
    </cfRule>
    <cfRule type="cellIs" dxfId="5063" priority="1971" stopIfTrue="1" operator="between">
      <formula>0</formula>
      <formula>0.255</formula>
    </cfRule>
  </conditionalFormatting>
  <conditionalFormatting sqref="AA355">
    <cfRule type="cellIs" dxfId="5062" priority="1962" operator="between">
      <formula>0.56251</formula>
      <formula>0.7125</formula>
    </cfRule>
    <cfRule type="cellIs" dxfId="5061" priority="1963" operator="between">
      <formula>0.3751</formula>
      <formula>0.5625</formula>
    </cfRule>
    <cfRule type="cellIs" dxfId="5060" priority="1964" operator="greaterThan">
      <formula>0.751</formula>
    </cfRule>
    <cfRule type="cellIs" dxfId="5059" priority="1965" operator="between">
      <formula>0.71251</formula>
      <formula>0.75</formula>
    </cfRule>
    <cfRule type="cellIs" dxfId="5058" priority="1966" stopIfTrue="1" operator="between">
      <formula>0</formula>
      <formula>0.375</formula>
    </cfRule>
  </conditionalFormatting>
  <conditionalFormatting sqref="AB355">
    <cfRule type="cellIs" dxfId="5057" priority="1957" operator="between">
      <formula>0.56251</formula>
      <formula>0.7125</formula>
    </cfRule>
    <cfRule type="cellIs" dxfId="5056" priority="1958" operator="between">
      <formula>0.3751</formula>
      <formula>0.5625</formula>
    </cfRule>
    <cfRule type="cellIs" dxfId="5055" priority="1959" operator="greaterThan">
      <formula>0.751</formula>
    </cfRule>
    <cfRule type="cellIs" dxfId="5054" priority="1960" operator="between">
      <formula>0.71251</formula>
      <formula>0.75</formula>
    </cfRule>
    <cfRule type="cellIs" dxfId="5053" priority="1961" stopIfTrue="1" operator="between">
      <formula>0</formula>
      <formula>0.375</formula>
    </cfRule>
  </conditionalFormatting>
  <conditionalFormatting sqref="S355">
    <cfRule type="cellIs" dxfId="5052" priority="1947" operator="between">
      <formula>0.76</formula>
      <formula>0.95</formula>
    </cfRule>
    <cfRule type="cellIs" dxfId="5051" priority="1948" operator="between">
      <formula>0.51</formula>
      <formula>0.75</formula>
    </cfRule>
    <cfRule type="cellIs" dxfId="5050" priority="1949" operator="greaterThan">
      <formula>1</formula>
    </cfRule>
    <cfRule type="cellIs" dxfId="5049" priority="1950" operator="between">
      <formula>0.95</formula>
      <formula>1</formula>
    </cfRule>
    <cfRule type="cellIs" dxfId="5048" priority="1951" stopIfTrue="1" operator="between">
      <formula>0</formula>
      <formula>0.5</formula>
    </cfRule>
  </conditionalFormatting>
  <conditionalFormatting sqref="V355">
    <cfRule type="cellIs" dxfId="5047" priority="1942" operator="between">
      <formula>0.376</formula>
      <formula>0.475</formula>
    </cfRule>
    <cfRule type="cellIs" dxfId="5046" priority="1943" operator="between">
      <formula>0.2551</formula>
      <formula>0.3751</formula>
    </cfRule>
    <cfRule type="cellIs" dxfId="5045" priority="1944" operator="greaterThan">
      <formula>0.505</formula>
    </cfRule>
    <cfRule type="cellIs" dxfId="5044" priority="1945" operator="between">
      <formula>0.48</formula>
      <formula>0.5</formula>
    </cfRule>
    <cfRule type="cellIs" dxfId="5043" priority="1946" stopIfTrue="1" operator="between">
      <formula>0</formula>
      <formula>0.255</formula>
    </cfRule>
  </conditionalFormatting>
  <conditionalFormatting sqref="Z355">
    <cfRule type="cellIs" dxfId="5042" priority="1937" operator="between">
      <formula>0.76</formula>
      <formula>0.95</formula>
    </cfRule>
    <cfRule type="cellIs" dxfId="5041" priority="1938" operator="between">
      <formula>0.51</formula>
      <formula>0.75</formula>
    </cfRule>
    <cfRule type="cellIs" dxfId="5040" priority="1939" operator="greaterThan">
      <formula>1</formula>
    </cfRule>
    <cfRule type="cellIs" dxfId="5039" priority="1940" operator="between">
      <formula>0.95</formula>
      <formula>1</formula>
    </cfRule>
    <cfRule type="cellIs" dxfId="5038" priority="1941" stopIfTrue="1" operator="between">
      <formula>0</formula>
      <formula>0.5</formula>
    </cfRule>
  </conditionalFormatting>
  <conditionalFormatting sqref="AC355">
    <cfRule type="cellIs" dxfId="5037" priority="1932" operator="between">
      <formula>0.56251</formula>
      <formula>0.7125</formula>
    </cfRule>
    <cfRule type="cellIs" dxfId="5036" priority="1933" operator="between">
      <formula>0.3751</formula>
      <formula>0.5625</formula>
    </cfRule>
    <cfRule type="cellIs" dxfId="5035" priority="1934" operator="greaterThan">
      <formula>0.751</formula>
    </cfRule>
    <cfRule type="cellIs" dxfId="5034" priority="1935" operator="between">
      <formula>0.71251</formula>
      <formula>0.75</formula>
    </cfRule>
    <cfRule type="cellIs" dxfId="5033" priority="1936" stopIfTrue="1" operator="between">
      <formula>0</formula>
      <formula>0.375</formula>
    </cfRule>
  </conditionalFormatting>
  <conditionalFormatting sqref="AG92">
    <cfRule type="cellIs" dxfId="5032" priority="1921" operator="between">
      <formula>0.76</formula>
      <formula>0.95</formula>
    </cfRule>
    <cfRule type="cellIs" dxfId="5031" priority="1922" operator="between">
      <formula>0.51</formula>
      <formula>0.75</formula>
    </cfRule>
    <cfRule type="cellIs" dxfId="5030" priority="1923" operator="greaterThan">
      <formula>1</formula>
    </cfRule>
    <cfRule type="cellIs" dxfId="5029" priority="1924" operator="between">
      <formula>0.95</formula>
      <formula>1</formula>
    </cfRule>
    <cfRule type="cellIs" dxfId="5028" priority="1925" stopIfTrue="1" operator="between">
      <formula>0</formula>
      <formula>0.5</formula>
    </cfRule>
  </conditionalFormatting>
  <conditionalFormatting sqref="M118">
    <cfRule type="cellIs" dxfId="5027" priority="1876" operator="between">
      <formula>0.1876</formula>
      <formula>0.2375</formula>
    </cfRule>
    <cfRule type="cellIs" dxfId="5026" priority="1877" operator="between">
      <formula>0.1251</formula>
      <formula>0.1875</formula>
    </cfRule>
    <cfRule type="cellIs" dxfId="5025" priority="1878" operator="greaterThan">
      <formula>0.25</formula>
    </cfRule>
    <cfRule type="cellIs" dxfId="5024" priority="1879" operator="between">
      <formula>0.2375</formula>
      <formula>0.25</formula>
    </cfRule>
    <cfRule type="cellIs" dxfId="5023" priority="1880" stopIfTrue="1" operator="between">
      <formula>0</formula>
      <formula>0.125</formula>
    </cfRule>
  </conditionalFormatting>
  <conditionalFormatting sqref="N118">
    <cfRule type="cellIs" dxfId="5022" priority="1871" operator="between">
      <formula>0.1876</formula>
      <formula>0.2375</formula>
    </cfRule>
    <cfRule type="cellIs" dxfId="5021" priority="1872" operator="between">
      <formula>0.1251</formula>
      <formula>0.1875</formula>
    </cfRule>
    <cfRule type="cellIs" dxfId="5020" priority="1873" operator="greaterThan">
      <formula>0.25</formula>
    </cfRule>
    <cfRule type="cellIs" dxfId="5019" priority="1874" operator="between">
      <formula>0.2376</formula>
      <formula>0.25</formula>
    </cfRule>
    <cfRule type="cellIs" dxfId="5018" priority="1875" stopIfTrue="1" operator="between">
      <formula>0</formula>
      <formula>0.125</formula>
    </cfRule>
  </conditionalFormatting>
  <conditionalFormatting sqref="K286:L286">
    <cfRule type="cellIs" dxfId="5017" priority="1791" operator="between">
      <formula>0.76</formula>
      <formula>0.95</formula>
    </cfRule>
    <cfRule type="cellIs" dxfId="5016" priority="1792" operator="between">
      <formula>0.51</formula>
      <formula>0.75</formula>
    </cfRule>
    <cfRule type="cellIs" dxfId="5015" priority="1793" operator="greaterThan">
      <formula>1</formula>
    </cfRule>
    <cfRule type="cellIs" dxfId="5014" priority="1794" operator="between">
      <formula>0.96</formula>
      <formula>1</formula>
    </cfRule>
    <cfRule type="cellIs" dxfId="5013" priority="1795" stopIfTrue="1" operator="between">
      <formula>0</formula>
      <formula>0.5</formula>
    </cfRule>
  </conditionalFormatting>
  <conditionalFormatting sqref="O286">
    <cfRule type="cellIs" dxfId="5012" priority="1786" operator="between">
      <formula>0.1876</formula>
      <formula>0.2375</formula>
    </cfRule>
    <cfRule type="cellIs" dxfId="5011" priority="1787" operator="between">
      <formula>0.1251</formula>
      <formula>0.1875</formula>
    </cfRule>
    <cfRule type="cellIs" dxfId="5010" priority="1788" operator="greaterThan">
      <formula>0.25</formula>
    </cfRule>
    <cfRule type="cellIs" dxfId="5009" priority="1789" operator="between">
      <formula>0.2375</formula>
      <formula>0.25</formula>
    </cfRule>
    <cfRule type="cellIs" dxfId="5008" priority="1790" stopIfTrue="1" operator="between">
      <formula>0</formula>
      <formula>0.125</formula>
    </cfRule>
  </conditionalFormatting>
  <conditionalFormatting sqref="M286:N286">
    <cfRule type="cellIs" dxfId="5007" priority="1781" operator="between">
      <formula>0.1876</formula>
      <formula>0.2375</formula>
    </cfRule>
    <cfRule type="cellIs" dxfId="5006" priority="1782" operator="between">
      <formula>0.1251</formula>
      <formula>0.1875</formula>
    </cfRule>
    <cfRule type="cellIs" dxfId="5005" priority="1783" operator="greaterThan">
      <formula>0.25</formula>
    </cfRule>
    <cfRule type="cellIs" dxfId="5004" priority="1784" operator="between">
      <formula>0.2376</formula>
      <formula>0.25</formula>
    </cfRule>
    <cfRule type="cellIs" dxfId="5003" priority="1785" stopIfTrue="1" operator="between">
      <formula>0</formula>
      <formula>0.125</formula>
    </cfRule>
  </conditionalFormatting>
  <conditionalFormatting sqref="AH286:AI286 R286 AF286 Y286">
    <cfRule type="cellIs" dxfId="5002" priority="1776" operator="between">
      <formula>0.76</formula>
      <formula>0.95</formula>
    </cfRule>
    <cfRule type="cellIs" dxfId="5001" priority="1777" operator="between">
      <formula>0.51</formula>
      <formula>0.75</formula>
    </cfRule>
    <cfRule type="cellIs" dxfId="5000" priority="1778" operator="greaterThan">
      <formula>1</formula>
    </cfRule>
    <cfRule type="cellIs" dxfId="4999" priority="1779" operator="between">
      <formula>0.95</formula>
      <formula>1</formula>
    </cfRule>
    <cfRule type="cellIs" dxfId="4998" priority="1780" stopIfTrue="1" operator="between">
      <formula>0</formula>
      <formula>0.5</formula>
    </cfRule>
  </conditionalFormatting>
  <conditionalFormatting sqref="T286">
    <cfRule type="cellIs" dxfId="4997" priority="1771" operator="between">
      <formula>0.3751</formula>
      <formula>0.475</formula>
    </cfRule>
    <cfRule type="cellIs" dxfId="4996" priority="1772" operator="between">
      <formula>0.2551</formula>
      <formula>0.375</formula>
    </cfRule>
    <cfRule type="cellIs" dxfId="4995" priority="1773" operator="greaterThan">
      <formula>0.505</formula>
    </cfRule>
    <cfRule type="cellIs" dxfId="4994" priority="1774" operator="between">
      <formula>0.48</formula>
      <formula>0.5</formula>
    </cfRule>
    <cfRule type="cellIs" dxfId="4993" priority="1775" stopIfTrue="1" operator="between">
      <formula>0</formula>
      <formula>0.255</formula>
    </cfRule>
  </conditionalFormatting>
  <conditionalFormatting sqref="AA286:AB286">
    <cfRule type="cellIs" dxfId="4992" priority="1766" operator="between">
      <formula>0.56251</formula>
      <formula>0.7125</formula>
    </cfRule>
    <cfRule type="cellIs" dxfId="4991" priority="1767" operator="between">
      <formula>0.3751</formula>
      <formula>0.5625</formula>
    </cfRule>
    <cfRule type="cellIs" dxfId="4990" priority="1768" operator="greaterThan">
      <formula>0.751</formula>
    </cfRule>
    <cfRule type="cellIs" dxfId="4989" priority="1769" operator="between">
      <formula>0.71251</formula>
      <formula>0.75</formula>
    </cfRule>
    <cfRule type="cellIs" dxfId="4988" priority="1770" stopIfTrue="1" operator="between">
      <formula>0</formula>
      <formula>0.375</formula>
    </cfRule>
  </conditionalFormatting>
  <conditionalFormatting sqref="U286">
    <cfRule type="cellIs" dxfId="4987" priority="1761" operator="between">
      <formula>0.376</formula>
      <formula>0.475</formula>
    </cfRule>
    <cfRule type="cellIs" dxfId="4986" priority="1762" operator="between">
      <formula>0.2551</formula>
      <formula>0.3751</formula>
    </cfRule>
    <cfRule type="cellIs" dxfId="4985" priority="1763" operator="greaterThan">
      <formula>0.505</formula>
    </cfRule>
    <cfRule type="cellIs" dxfId="4984" priority="1764" operator="between">
      <formula>0.48</formula>
      <formula>0.5</formula>
    </cfRule>
    <cfRule type="cellIs" dxfId="4983" priority="1765" stopIfTrue="1" operator="between">
      <formula>0</formula>
      <formula>0.255</formula>
    </cfRule>
  </conditionalFormatting>
  <conditionalFormatting sqref="AC286">
    <cfRule type="cellIs" dxfId="4982" priority="1753" operator="between">
      <formula>0.56251</formula>
      <formula>0.7125</formula>
    </cfRule>
    <cfRule type="cellIs" dxfId="4981" priority="1754" operator="between">
      <formula>0.3751</formula>
      <formula>0.5625</formula>
    </cfRule>
    <cfRule type="cellIs" dxfId="4980" priority="1755" operator="greaterThan">
      <formula>0.751</formula>
    </cfRule>
    <cfRule type="cellIs" dxfId="4979" priority="1756" operator="between">
      <formula>0.71251</formula>
      <formula>0.75</formula>
    </cfRule>
    <cfRule type="cellIs" dxfId="4978" priority="1757" stopIfTrue="1" operator="between">
      <formula>0</formula>
      <formula>0.375</formula>
    </cfRule>
  </conditionalFormatting>
  <conditionalFormatting sqref="V286">
    <cfRule type="cellIs" dxfId="4977" priority="1748" operator="between">
      <formula>0.376</formula>
      <formula>0.475</formula>
    </cfRule>
    <cfRule type="cellIs" dxfId="4976" priority="1749" operator="between">
      <formula>0.2551</formula>
      <formula>0.3751</formula>
    </cfRule>
    <cfRule type="cellIs" dxfId="4975" priority="1750" operator="greaterThan">
      <formula>0.505</formula>
    </cfRule>
    <cfRule type="cellIs" dxfId="4974" priority="1751" operator="between">
      <formula>0.48</formula>
      <formula>0.5</formula>
    </cfRule>
    <cfRule type="cellIs" dxfId="4973" priority="1752" stopIfTrue="1" operator="between">
      <formula>0</formula>
      <formula>0.255</formula>
    </cfRule>
  </conditionalFormatting>
  <conditionalFormatting sqref="S286">
    <cfRule type="cellIs" dxfId="4972" priority="1743" operator="between">
      <formula>0.76</formula>
      <formula>0.95</formula>
    </cfRule>
    <cfRule type="cellIs" dxfId="4971" priority="1744" operator="between">
      <formula>0.51</formula>
      <formula>0.75</formula>
    </cfRule>
    <cfRule type="cellIs" dxfId="4970" priority="1745" operator="greaterThan">
      <formula>1</formula>
    </cfRule>
    <cfRule type="cellIs" dxfId="4969" priority="1746" operator="between">
      <formula>0.95</formula>
      <formula>1</formula>
    </cfRule>
    <cfRule type="cellIs" dxfId="4968" priority="1747" stopIfTrue="1" operator="between">
      <formula>0</formula>
      <formula>0.5</formula>
    </cfRule>
  </conditionalFormatting>
  <conditionalFormatting sqref="Z286">
    <cfRule type="cellIs" dxfId="4967" priority="1738" operator="between">
      <formula>0.76</formula>
      <formula>0.95</formula>
    </cfRule>
    <cfRule type="cellIs" dxfId="4966" priority="1739" operator="between">
      <formula>0.51</formula>
      <formula>0.75</formula>
    </cfRule>
    <cfRule type="cellIs" dxfId="4965" priority="1740" operator="greaterThan">
      <formula>1</formula>
    </cfRule>
    <cfRule type="cellIs" dxfId="4964" priority="1741" operator="between">
      <formula>0.95</formula>
      <formula>1</formula>
    </cfRule>
    <cfRule type="cellIs" dxfId="4963" priority="1742" stopIfTrue="1" operator="between">
      <formula>0</formula>
      <formula>0.5</formula>
    </cfRule>
  </conditionalFormatting>
  <conditionalFormatting sqref="AG286">
    <cfRule type="cellIs" dxfId="4962" priority="1733" operator="between">
      <formula>0.76</formula>
      <formula>0.95</formula>
    </cfRule>
    <cfRule type="cellIs" dxfId="4961" priority="1734" operator="between">
      <formula>0.51</formula>
      <formula>0.75</formula>
    </cfRule>
    <cfRule type="cellIs" dxfId="4960" priority="1735" operator="greaterThan">
      <formula>1</formula>
    </cfRule>
    <cfRule type="cellIs" dxfId="4959" priority="1736" operator="between">
      <formula>0.95</formula>
      <formula>1</formula>
    </cfRule>
    <cfRule type="cellIs" dxfId="4958" priority="1737" stopIfTrue="1" operator="between">
      <formula>0</formula>
      <formula>0.5</formula>
    </cfRule>
  </conditionalFormatting>
  <conditionalFormatting sqref="L227">
    <cfRule type="cellIs" dxfId="4957" priority="1718" operator="between">
      <formula>0.76</formula>
      <formula>0.95</formula>
    </cfRule>
    <cfRule type="cellIs" dxfId="4956" priority="1719" operator="between">
      <formula>0.51</formula>
      <formula>0.75</formula>
    </cfRule>
    <cfRule type="cellIs" dxfId="4955" priority="1720" operator="greaterThan">
      <formula>1</formula>
    </cfRule>
    <cfRule type="cellIs" dxfId="4954" priority="1721" operator="between">
      <formula>0.96</formula>
      <formula>1</formula>
    </cfRule>
    <cfRule type="cellIs" dxfId="4953" priority="1722" stopIfTrue="1" operator="between">
      <formula>0</formula>
      <formula>0.5</formula>
    </cfRule>
  </conditionalFormatting>
  <conditionalFormatting sqref="O227">
    <cfRule type="cellIs" dxfId="4952" priority="1713" operator="between">
      <formula>0.1876</formula>
      <formula>0.2375</formula>
    </cfRule>
    <cfRule type="cellIs" dxfId="4951" priority="1714" operator="between">
      <formula>0.1251</formula>
      <formula>0.1875</formula>
    </cfRule>
    <cfRule type="cellIs" dxfId="4950" priority="1715" operator="greaterThan">
      <formula>0.25</formula>
    </cfRule>
    <cfRule type="cellIs" dxfId="4949" priority="1716" operator="between">
      <formula>0.2375</formula>
      <formula>0.25</formula>
    </cfRule>
    <cfRule type="cellIs" dxfId="4948" priority="1717" stopIfTrue="1" operator="between">
      <formula>0</formula>
      <formula>0.125</formula>
    </cfRule>
  </conditionalFormatting>
  <conditionalFormatting sqref="M227:N227">
    <cfRule type="cellIs" dxfId="4947" priority="1708" operator="between">
      <formula>0.1876</formula>
      <formula>0.2375</formula>
    </cfRule>
    <cfRule type="cellIs" dxfId="4946" priority="1709" operator="between">
      <formula>0.1251</formula>
      <formula>0.1875</formula>
    </cfRule>
    <cfRule type="cellIs" dxfId="4945" priority="1710" operator="greaterThan">
      <formula>0.25</formula>
    </cfRule>
    <cfRule type="cellIs" dxfId="4944" priority="1711" operator="between">
      <formula>0.2376</formula>
      <formula>0.25</formula>
    </cfRule>
    <cfRule type="cellIs" dxfId="4943" priority="1712" stopIfTrue="1" operator="between">
      <formula>0</formula>
      <formula>0.125</formula>
    </cfRule>
  </conditionalFormatting>
  <conditionalFormatting sqref="R227:S227 Y227:Z227 AF227:AI227">
    <cfRule type="cellIs" dxfId="4942" priority="1703" operator="between">
      <formula>0.76</formula>
      <formula>0.95</formula>
    </cfRule>
    <cfRule type="cellIs" dxfId="4941" priority="1704" operator="between">
      <formula>0.51</formula>
      <formula>0.75</formula>
    </cfRule>
    <cfRule type="cellIs" dxfId="4940" priority="1705" operator="greaterThan">
      <formula>1</formula>
    </cfRule>
    <cfRule type="cellIs" dxfId="4939" priority="1706" operator="between">
      <formula>0.95</formula>
      <formula>1</formula>
    </cfRule>
    <cfRule type="cellIs" dxfId="4938" priority="1707" stopIfTrue="1" operator="between">
      <formula>0</formula>
      <formula>0.5</formula>
    </cfRule>
  </conditionalFormatting>
  <conditionalFormatting sqref="T227">
    <cfRule type="cellIs" dxfId="4937" priority="1698" operator="between">
      <formula>0.3751</formula>
      <formula>0.475</formula>
    </cfRule>
    <cfRule type="cellIs" dxfId="4936" priority="1699" operator="between">
      <formula>0.2551</formula>
      <formula>0.375</formula>
    </cfRule>
    <cfRule type="cellIs" dxfId="4935" priority="1700" operator="greaterThan">
      <formula>0.505</formula>
    </cfRule>
    <cfRule type="cellIs" dxfId="4934" priority="1701" operator="between">
      <formula>0.48</formula>
      <formula>0.5</formula>
    </cfRule>
    <cfRule type="cellIs" dxfId="4933" priority="1702" stopIfTrue="1" operator="between">
      <formula>0</formula>
      <formula>0.255</formula>
    </cfRule>
  </conditionalFormatting>
  <conditionalFormatting sqref="AA227:AC227">
    <cfRule type="cellIs" dxfId="4932" priority="1693" operator="between">
      <formula>0.56251</formula>
      <formula>0.7125</formula>
    </cfRule>
    <cfRule type="cellIs" dxfId="4931" priority="1694" operator="between">
      <formula>0.3751</formula>
      <formula>0.5625</formula>
    </cfRule>
    <cfRule type="cellIs" dxfId="4930" priority="1695" operator="greaterThan">
      <formula>0.751</formula>
    </cfRule>
    <cfRule type="cellIs" dxfId="4929" priority="1696" operator="between">
      <formula>0.71251</formula>
      <formula>0.75</formula>
    </cfRule>
    <cfRule type="cellIs" dxfId="4928" priority="1697" stopIfTrue="1" operator="between">
      <formula>0</formula>
      <formula>0.375</formula>
    </cfRule>
  </conditionalFormatting>
  <conditionalFormatting sqref="U227:V227">
    <cfRule type="cellIs" dxfId="4927" priority="1688" operator="between">
      <formula>0.376</formula>
      <formula>0.475</formula>
    </cfRule>
    <cfRule type="cellIs" dxfId="4926" priority="1689" operator="between">
      <formula>0.2551</formula>
      <formula>0.3751</formula>
    </cfRule>
    <cfRule type="cellIs" dxfId="4925" priority="1690" operator="greaterThan">
      <formula>0.505</formula>
    </cfRule>
    <cfRule type="cellIs" dxfId="4924" priority="1691" operator="between">
      <formula>0.48</formula>
      <formula>0.5</formula>
    </cfRule>
    <cfRule type="cellIs" dxfId="4923" priority="1692" stopIfTrue="1" operator="between">
      <formula>0</formula>
      <formula>0.255</formula>
    </cfRule>
  </conditionalFormatting>
  <conditionalFormatting sqref="AG227">
    <cfRule type="cellIs" dxfId="4922" priority="1683" operator="between">
      <formula>0.76</formula>
      <formula>0.95</formula>
    </cfRule>
    <cfRule type="cellIs" dxfId="4921" priority="1684" operator="between">
      <formula>0.51</formula>
      <formula>0.75</formula>
    </cfRule>
    <cfRule type="cellIs" dxfId="4920" priority="1685" operator="greaterThan">
      <formula>1</formula>
    </cfRule>
    <cfRule type="cellIs" dxfId="4919" priority="1686" operator="between">
      <formula>0.95</formula>
      <formula>1</formula>
    </cfRule>
    <cfRule type="cellIs" dxfId="4918" priority="1687" stopIfTrue="1" operator="between">
      <formula>0</formula>
      <formula>0.5</formula>
    </cfRule>
  </conditionalFormatting>
  <conditionalFormatting sqref="T232">
    <cfRule type="cellIs" dxfId="4917" priority="1672" operator="between">
      <formula>0.3751</formula>
      <formula>0.475</formula>
    </cfRule>
    <cfRule type="cellIs" dxfId="4916" priority="1673" operator="between">
      <formula>0.2551</formula>
      <formula>0.375</formula>
    </cfRule>
    <cfRule type="cellIs" dxfId="4915" priority="1674" operator="greaterThan">
      <formula>0.505</formula>
    </cfRule>
    <cfRule type="cellIs" dxfId="4914" priority="1675" operator="between">
      <formula>0.48</formula>
      <formula>0.5</formula>
    </cfRule>
    <cfRule type="cellIs" dxfId="4913" priority="1676" stopIfTrue="1" operator="between">
      <formula>0</formula>
      <formula>0.255</formula>
    </cfRule>
  </conditionalFormatting>
  <conditionalFormatting sqref="U232:V232">
    <cfRule type="cellIs" dxfId="4912" priority="1667" operator="between">
      <formula>0.376</formula>
      <formula>0.475</formula>
    </cfRule>
    <cfRule type="cellIs" dxfId="4911" priority="1668" operator="between">
      <formula>0.2551</formula>
      <formula>0.3751</formula>
    </cfRule>
    <cfRule type="cellIs" dxfId="4910" priority="1669" operator="greaterThan">
      <formula>0.505</formula>
    </cfRule>
    <cfRule type="cellIs" dxfId="4909" priority="1670" operator="between">
      <formula>0.48</formula>
      <formula>0.5</formula>
    </cfRule>
    <cfRule type="cellIs" dxfId="4908" priority="1671" stopIfTrue="1" operator="between">
      <formula>0</formula>
      <formula>0.255</formula>
    </cfRule>
  </conditionalFormatting>
  <conditionalFormatting sqref="AA232:AC232">
    <cfRule type="cellIs" dxfId="4907" priority="1662" operator="between">
      <formula>0.56251</formula>
      <formula>0.7125</formula>
    </cfRule>
    <cfRule type="cellIs" dxfId="4906" priority="1663" operator="between">
      <formula>0.3751</formula>
      <formula>0.5625</formula>
    </cfRule>
    <cfRule type="cellIs" dxfId="4905" priority="1664" operator="greaterThan">
      <formula>0.751</formula>
    </cfRule>
    <cfRule type="cellIs" dxfId="4904" priority="1665" operator="between">
      <formula>0.71251</formula>
      <formula>0.75</formula>
    </cfRule>
    <cfRule type="cellIs" dxfId="4903" priority="1666" stopIfTrue="1" operator="between">
      <formula>0</formula>
      <formula>0.375</formula>
    </cfRule>
  </conditionalFormatting>
  <conditionalFormatting sqref="AH232:AI232">
    <cfRule type="cellIs" dxfId="4902" priority="1657" operator="between">
      <formula>0.76</formula>
      <formula>0.95</formula>
    </cfRule>
    <cfRule type="cellIs" dxfId="4901" priority="1658" operator="between">
      <formula>0.51</formula>
      <formula>0.75</formula>
    </cfRule>
    <cfRule type="cellIs" dxfId="4900" priority="1659" operator="greaterThan">
      <formula>1</formula>
    </cfRule>
    <cfRule type="cellIs" dxfId="4899" priority="1660" operator="between">
      <formula>0.95</formula>
      <formula>1</formula>
    </cfRule>
    <cfRule type="cellIs" dxfId="4898" priority="1661" stopIfTrue="1" operator="between">
      <formula>0</formula>
      <formula>0.5</formula>
    </cfRule>
  </conditionalFormatting>
  <conditionalFormatting sqref="V236">
    <cfRule type="cellIs" dxfId="4897" priority="1652" operator="between">
      <formula>0.376</formula>
      <formula>0.475</formula>
    </cfRule>
    <cfRule type="cellIs" dxfId="4896" priority="1653" operator="between">
      <formula>0.2551</formula>
      <formula>0.3751</formula>
    </cfRule>
    <cfRule type="cellIs" dxfId="4895" priority="1654" operator="greaterThan">
      <formula>0.505</formula>
    </cfRule>
    <cfRule type="cellIs" dxfId="4894" priority="1655" operator="between">
      <formula>0.48</formula>
      <formula>0.5</formula>
    </cfRule>
    <cfRule type="cellIs" dxfId="4893" priority="1656" stopIfTrue="1" operator="between">
      <formula>0</formula>
      <formula>0.255</formula>
    </cfRule>
  </conditionalFormatting>
  <conditionalFormatting sqref="V237">
    <cfRule type="cellIs" dxfId="4892" priority="1647" operator="between">
      <formula>0.376</formula>
      <formula>0.475</formula>
    </cfRule>
    <cfRule type="cellIs" dxfId="4891" priority="1648" operator="between">
      <formula>0.2551</formula>
      <formula>0.3751</formula>
    </cfRule>
    <cfRule type="cellIs" dxfId="4890" priority="1649" operator="greaterThan">
      <formula>0.505</formula>
    </cfRule>
    <cfRule type="cellIs" dxfId="4889" priority="1650" operator="between">
      <formula>0.48</formula>
      <formula>0.5</formula>
    </cfRule>
    <cfRule type="cellIs" dxfId="4888" priority="1651" stopIfTrue="1" operator="between">
      <formula>0</formula>
      <formula>0.255</formula>
    </cfRule>
  </conditionalFormatting>
  <conditionalFormatting sqref="AC236">
    <cfRule type="cellIs" dxfId="4887" priority="1642" operator="between">
      <formula>0.56251</formula>
      <formula>0.7125</formula>
    </cfRule>
    <cfRule type="cellIs" dxfId="4886" priority="1643" operator="between">
      <formula>0.3751</formula>
      <formula>0.5625</formula>
    </cfRule>
    <cfRule type="cellIs" dxfId="4885" priority="1644" operator="greaterThan">
      <formula>0.751</formula>
    </cfRule>
    <cfRule type="cellIs" dxfId="4884" priority="1645" operator="between">
      <formula>0.71251</formula>
      <formula>0.75</formula>
    </cfRule>
    <cfRule type="cellIs" dxfId="4883" priority="1646" stopIfTrue="1" operator="between">
      <formula>0</formula>
      <formula>0.375</formula>
    </cfRule>
  </conditionalFormatting>
  <conditionalFormatting sqref="AC237">
    <cfRule type="cellIs" dxfId="4882" priority="1637" operator="between">
      <formula>0.56251</formula>
      <formula>0.7125</formula>
    </cfRule>
    <cfRule type="cellIs" dxfId="4881" priority="1638" operator="between">
      <formula>0.3751</formula>
      <formula>0.5625</formula>
    </cfRule>
    <cfRule type="cellIs" dxfId="4880" priority="1639" operator="greaterThan">
      <formula>0.751</formula>
    </cfRule>
    <cfRule type="cellIs" dxfId="4879" priority="1640" operator="between">
      <formula>0.71251</formula>
      <formula>0.75</formula>
    </cfRule>
    <cfRule type="cellIs" dxfId="4878" priority="1641" stopIfTrue="1" operator="between">
      <formula>0</formula>
      <formula>0.375</formula>
    </cfRule>
  </conditionalFormatting>
  <conditionalFormatting sqref="T242">
    <cfRule type="cellIs" dxfId="4877" priority="1632" operator="between">
      <formula>0.3751</formula>
      <formula>0.475</formula>
    </cfRule>
    <cfRule type="cellIs" dxfId="4876" priority="1633" operator="between">
      <formula>0.2551</formula>
      <formula>0.375</formula>
    </cfRule>
    <cfRule type="cellIs" dxfId="4875" priority="1634" operator="greaterThan">
      <formula>0.505</formula>
    </cfRule>
    <cfRule type="cellIs" dxfId="4874" priority="1635" operator="between">
      <formula>0.48</formula>
      <formula>0.5</formula>
    </cfRule>
    <cfRule type="cellIs" dxfId="4873" priority="1636" stopIfTrue="1" operator="between">
      <formula>0</formula>
      <formula>0.255</formula>
    </cfRule>
  </conditionalFormatting>
  <conditionalFormatting sqref="U242">
    <cfRule type="cellIs" dxfId="4872" priority="1627" operator="between">
      <formula>0.376</formula>
      <formula>0.475</formula>
    </cfRule>
    <cfRule type="cellIs" dxfId="4871" priority="1628" operator="between">
      <formula>0.2551</formula>
      <formula>0.3751</formula>
    </cfRule>
    <cfRule type="cellIs" dxfId="4870" priority="1629" operator="greaterThan">
      <formula>0.505</formula>
    </cfRule>
    <cfRule type="cellIs" dxfId="4869" priority="1630" operator="between">
      <formula>0.48</formula>
      <formula>0.5</formula>
    </cfRule>
    <cfRule type="cellIs" dxfId="4868" priority="1631" stopIfTrue="1" operator="between">
      <formula>0</formula>
      <formula>0.255</formula>
    </cfRule>
  </conditionalFormatting>
  <conditionalFormatting sqref="T243">
    <cfRule type="cellIs" dxfId="4867" priority="1622" operator="between">
      <formula>0.3751</formula>
      <formula>0.475</formula>
    </cfRule>
    <cfRule type="cellIs" dxfId="4866" priority="1623" operator="between">
      <formula>0.2551</formula>
      <formula>0.375</formula>
    </cfRule>
    <cfRule type="cellIs" dxfId="4865" priority="1624" operator="greaterThan">
      <formula>0.505</formula>
    </cfRule>
    <cfRule type="cellIs" dxfId="4864" priority="1625" operator="between">
      <formula>0.48</formula>
      <formula>0.5</formula>
    </cfRule>
    <cfRule type="cellIs" dxfId="4863" priority="1626" stopIfTrue="1" operator="between">
      <formula>0</formula>
      <formula>0.255</formula>
    </cfRule>
  </conditionalFormatting>
  <conditionalFormatting sqref="U243">
    <cfRule type="cellIs" dxfId="4862" priority="1617" operator="between">
      <formula>0.376</formula>
      <formula>0.475</formula>
    </cfRule>
    <cfRule type="cellIs" dxfId="4861" priority="1618" operator="between">
      <formula>0.2551</formula>
      <formula>0.3751</formula>
    </cfRule>
    <cfRule type="cellIs" dxfId="4860" priority="1619" operator="greaterThan">
      <formula>0.505</formula>
    </cfRule>
    <cfRule type="cellIs" dxfId="4859" priority="1620" operator="between">
      <formula>0.48</formula>
      <formula>0.5</formula>
    </cfRule>
    <cfRule type="cellIs" dxfId="4858" priority="1621" stopIfTrue="1" operator="between">
      <formula>0</formula>
      <formula>0.255</formula>
    </cfRule>
  </conditionalFormatting>
  <conditionalFormatting sqref="Y242:Z242">
    <cfRule type="cellIs" dxfId="4857" priority="1612" operator="between">
      <formula>0.76</formula>
      <formula>0.95</formula>
    </cfRule>
    <cfRule type="cellIs" dxfId="4856" priority="1613" operator="between">
      <formula>0.51</formula>
      <formula>0.75</formula>
    </cfRule>
    <cfRule type="cellIs" dxfId="4855" priority="1614" operator="greaterThan">
      <formula>1</formula>
    </cfRule>
    <cfRule type="cellIs" dxfId="4854" priority="1615" operator="between">
      <formula>0.96</formula>
      <formula>1</formula>
    </cfRule>
    <cfRule type="cellIs" dxfId="4853" priority="1616" stopIfTrue="1" operator="between">
      <formula>0</formula>
      <formula>0.5</formula>
    </cfRule>
  </conditionalFormatting>
  <conditionalFormatting sqref="AA242:AC242">
    <cfRule type="cellIs" dxfId="4852" priority="1607" operator="between">
      <formula>0.56251</formula>
      <formula>0.7125</formula>
    </cfRule>
    <cfRule type="cellIs" dxfId="4851" priority="1608" operator="between">
      <formula>0.3751</formula>
      <formula>0.5625</formula>
    </cfRule>
    <cfRule type="cellIs" dxfId="4850" priority="1609" operator="greaterThan">
      <formula>0.751</formula>
    </cfRule>
    <cfRule type="cellIs" dxfId="4849" priority="1610" operator="between">
      <formula>0.71251</formula>
      <formula>0.75</formula>
    </cfRule>
    <cfRule type="cellIs" dxfId="4848" priority="1611" stopIfTrue="1" operator="between">
      <formula>0</formula>
      <formula>0.375</formula>
    </cfRule>
  </conditionalFormatting>
  <conditionalFormatting sqref="Z243">
    <cfRule type="cellIs" dxfId="4847" priority="1602" operator="between">
      <formula>0.76</formula>
      <formula>0.95</formula>
    </cfRule>
    <cfRule type="cellIs" dxfId="4846" priority="1603" operator="between">
      <formula>0.51</formula>
      <formula>0.75</formula>
    </cfRule>
    <cfRule type="cellIs" dxfId="4845" priority="1604" operator="greaterThan">
      <formula>1</formula>
    </cfRule>
    <cfRule type="cellIs" dxfId="4844" priority="1605" operator="between">
      <formula>0.95</formula>
      <formula>1</formula>
    </cfRule>
    <cfRule type="cellIs" dxfId="4843" priority="1606" stopIfTrue="1" operator="between">
      <formula>0</formula>
      <formula>0.5</formula>
    </cfRule>
  </conditionalFormatting>
  <conditionalFormatting sqref="AA243:AB243">
    <cfRule type="cellIs" dxfId="4842" priority="1597" operator="between">
      <formula>0.56251</formula>
      <formula>0.7125</formula>
    </cfRule>
    <cfRule type="cellIs" dxfId="4841" priority="1598" operator="between">
      <formula>0.3751</formula>
      <formula>0.5625</formula>
    </cfRule>
    <cfRule type="cellIs" dxfId="4840" priority="1599" operator="greaterThan">
      <formula>0.751</formula>
    </cfRule>
    <cfRule type="cellIs" dxfId="4839" priority="1600" operator="between">
      <formula>0.71251</formula>
      <formula>0.75</formula>
    </cfRule>
    <cfRule type="cellIs" dxfId="4838" priority="1601" stopIfTrue="1" operator="between">
      <formula>0</formula>
      <formula>0.375</formula>
    </cfRule>
  </conditionalFormatting>
  <conditionalFormatting sqref="S262">
    <cfRule type="cellIs" dxfId="4837" priority="1592" operator="between">
      <formula>0.76</formula>
      <formula>0.95</formula>
    </cfRule>
    <cfRule type="cellIs" dxfId="4836" priority="1593" operator="between">
      <formula>0.51</formula>
      <formula>0.75</formula>
    </cfRule>
    <cfRule type="cellIs" dxfId="4835" priority="1594" operator="greaterThan">
      <formula>1</formula>
    </cfRule>
    <cfRule type="cellIs" dxfId="4834" priority="1595" operator="between">
      <formula>0.95</formula>
      <formula>1</formula>
    </cfRule>
    <cfRule type="cellIs" dxfId="4833" priority="1596" stopIfTrue="1" operator="between">
      <formula>0</formula>
      <formula>0.5</formula>
    </cfRule>
  </conditionalFormatting>
  <conditionalFormatting sqref="V262">
    <cfRule type="cellIs" dxfId="4832" priority="1587" operator="between">
      <formula>0.376</formula>
      <formula>0.475</formula>
    </cfRule>
    <cfRule type="cellIs" dxfId="4831" priority="1588" operator="between">
      <formula>0.2551</formula>
      <formula>0.3751</formula>
    </cfRule>
    <cfRule type="cellIs" dxfId="4830" priority="1589" operator="greaterThan">
      <formula>0.505</formula>
    </cfRule>
    <cfRule type="cellIs" dxfId="4829" priority="1590" operator="between">
      <formula>0.48</formula>
      <formula>0.5</formula>
    </cfRule>
    <cfRule type="cellIs" dxfId="4828" priority="1591" stopIfTrue="1" operator="between">
      <formula>0</formula>
      <formula>0.255</formula>
    </cfRule>
  </conditionalFormatting>
  <conditionalFormatting sqref="Z263:Z265">
    <cfRule type="cellIs" dxfId="4827" priority="1582" operator="between">
      <formula>0.76</formula>
      <formula>0.95</formula>
    </cfRule>
    <cfRule type="cellIs" dxfId="4826" priority="1583" operator="between">
      <formula>0.51</formula>
      <formula>0.75</formula>
    </cfRule>
    <cfRule type="cellIs" dxfId="4825" priority="1584" operator="greaterThan">
      <formula>1</formula>
    </cfRule>
    <cfRule type="cellIs" dxfId="4824" priority="1585" operator="between">
      <formula>0.95</formula>
      <formula>1</formula>
    </cfRule>
    <cfRule type="cellIs" dxfId="4823" priority="1586" stopIfTrue="1" operator="between">
      <formula>0</formula>
      <formula>0.5</formula>
    </cfRule>
  </conditionalFormatting>
  <conditionalFormatting sqref="Z267">
    <cfRule type="cellIs" dxfId="4822" priority="1577" operator="between">
      <formula>0.76</formula>
      <formula>0.95</formula>
    </cfRule>
    <cfRule type="cellIs" dxfId="4821" priority="1578" operator="between">
      <formula>0.51</formula>
      <formula>0.75</formula>
    </cfRule>
    <cfRule type="cellIs" dxfId="4820" priority="1579" operator="greaterThan">
      <formula>1</formula>
    </cfRule>
    <cfRule type="cellIs" dxfId="4819" priority="1580" operator="between">
      <formula>0.95</formula>
      <formula>1</formula>
    </cfRule>
    <cfRule type="cellIs" dxfId="4818" priority="1581" stopIfTrue="1" operator="between">
      <formula>0</formula>
      <formula>0.5</formula>
    </cfRule>
  </conditionalFormatting>
  <conditionalFormatting sqref="AA267:AC267">
    <cfRule type="cellIs" dxfId="4817" priority="1572" operator="between">
      <formula>0.56251</formula>
      <formula>0.7125</formula>
    </cfRule>
    <cfRule type="cellIs" dxfId="4816" priority="1573" operator="between">
      <formula>0.3751</formula>
      <formula>0.5625</formula>
    </cfRule>
    <cfRule type="cellIs" dxfId="4815" priority="1574" operator="greaterThan">
      <formula>0.751</formula>
    </cfRule>
    <cfRule type="cellIs" dxfId="4814" priority="1575" operator="between">
      <formula>0.71251</formula>
      <formula>0.75</formula>
    </cfRule>
    <cfRule type="cellIs" dxfId="4813" priority="1576" stopIfTrue="1" operator="between">
      <formula>0</formula>
      <formula>0.375</formula>
    </cfRule>
  </conditionalFormatting>
  <conditionalFormatting sqref="V285">
    <cfRule type="cellIs" dxfId="4812" priority="1567" operator="between">
      <formula>0.376</formula>
      <formula>0.475</formula>
    </cfRule>
    <cfRule type="cellIs" dxfId="4811" priority="1568" operator="between">
      <formula>0.2551</formula>
      <formula>0.3751</formula>
    </cfRule>
    <cfRule type="cellIs" dxfId="4810" priority="1569" operator="greaterThan">
      <formula>0.505</formula>
    </cfRule>
    <cfRule type="cellIs" dxfId="4809" priority="1570" operator="between">
      <formula>0.48</formula>
      <formula>0.5</formula>
    </cfRule>
    <cfRule type="cellIs" dxfId="4808" priority="1571" stopIfTrue="1" operator="between">
      <formula>0</formula>
      <formula>0.255</formula>
    </cfRule>
  </conditionalFormatting>
  <conditionalFormatting sqref="AC285">
    <cfRule type="cellIs" dxfId="4807" priority="1562" operator="between">
      <formula>0.56251</formula>
      <formula>0.7125</formula>
    </cfRule>
    <cfRule type="cellIs" dxfId="4806" priority="1563" operator="between">
      <formula>0.3751</formula>
      <formula>0.5625</formula>
    </cfRule>
    <cfRule type="cellIs" dxfId="4805" priority="1564" operator="greaterThan">
      <formula>0.751</formula>
    </cfRule>
    <cfRule type="cellIs" dxfId="4804" priority="1565" operator="between">
      <formula>0.71251</formula>
      <formula>0.75</formula>
    </cfRule>
    <cfRule type="cellIs" dxfId="4803" priority="1566" stopIfTrue="1" operator="between">
      <formula>0</formula>
      <formula>0.375</formula>
    </cfRule>
  </conditionalFormatting>
  <conditionalFormatting sqref="V290">
    <cfRule type="cellIs" dxfId="4802" priority="1557" operator="between">
      <formula>0.376</formula>
      <formula>0.475</formula>
    </cfRule>
    <cfRule type="cellIs" dxfId="4801" priority="1558" operator="between">
      <formula>0.2551</formula>
      <formula>0.3751</formula>
    </cfRule>
    <cfRule type="cellIs" dxfId="4800" priority="1559" operator="greaterThan">
      <formula>0.505</formula>
    </cfRule>
    <cfRule type="cellIs" dxfId="4799" priority="1560" operator="between">
      <formula>0.48</formula>
      <formula>0.5</formula>
    </cfRule>
    <cfRule type="cellIs" dxfId="4798" priority="1561" stopIfTrue="1" operator="between">
      <formula>0</formula>
      <formula>0.255</formula>
    </cfRule>
  </conditionalFormatting>
  <conditionalFormatting sqref="AC290">
    <cfRule type="cellIs" dxfId="4797" priority="1552" operator="between">
      <formula>0.56251</formula>
      <formula>0.7125</formula>
    </cfRule>
    <cfRule type="cellIs" dxfId="4796" priority="1553" operator="between">
      <formula>0.3751</formula>
      <formula>0.5625</formula>
    </cfRule>
    <cfRule type="cellIs" dxfId="4795" priority="1554" operator="greaterThan">
      <formula>0.751</formula>
    </cfRule>
    <cfRule type="cellIs" dxfId="4794" priority="1555" operator="between">
      <formula>0.71251</formula>
      <formula>0.75</formula>
    </cfRule>
    <cfRule type="cellIs" dxfId="4793" priority="1556" stopIfTrue="1" operator="between">
      <formula>0</formula>
      <formula>0.375</formula>
    </cfRule>
  </conditionalFormatting>
  <conditionalFormatting sqref="Z295">
    <cfRule type="cellIs" dxfId="4792" priority="1547" operator="between">
      <formula>0.76</formula>
      <formula>0.95</formula>
    </cfRule>
    <cfRule type="cellIs" dxfId="4791" priority="1548" operator="between">
      <formula>0.51</formula>
      <formula>0.75</formula>
    </cfRule>
    <cfRule type="cellIs" dxfId="4790" priority="1549" operator="greaterThan">
      <formula>1</formula>
    </cfRule>
    <cfRule type="cellIs" dxfId="4789" priority="1550" operator="between">
      <formula>0.95</formula>
      <formula>1</formula>
    </cfRule>
    <cfRule type="cellIs" dxfId="4788" priority="1551" stopIfTrue="1" operator="between">
      <formula>0</formula>
      <formula>0.5</formula>
    </cfRule>
  </conditionalFormatting>
  <conditionalFormatting sqref="T308">
    <cfRule type="cellIs" dxfId="4787" priority="1542" operator="between">
      <formula>0.3751</formula>
      <formula>0.475</formula>
    </cfRule>
    <cfRule type="cellIs" dxfId="4786" priority="1543" operator="between">
      <formula>0.2551</formula>
      <formula>0.375</formula>
    </cfRule>
    <cfRule type="cellIs" dxfId="4785" priority="1544" operator="greaterThan">
      <formula>0.505</formula>
    </cfRule>
    <cfRule type="cellIs" dxfId="4784" priority="1545" operator="between">
      <formula>0.48</formula>
      <formula>0.5</formula>
    </cfRule>
    <cfRule type="cellIs" dxfId="4783" priority="1546" stopIfTrue="1" operator="between">
      <formula>0</formula>
      <formula>0.255</formula>
    </cfRule>
  </conditionalFormatting>
  <conditionalFormatting sqref="U308">
    <cfRule type="cellIs" dxfId="4782" priority="1537" operator="between">
      <formula>0.376</formula>
      <formula>0.475</formula>
    </cfRule>
    <cfRule type="cellIs" dxfId="4781" priority="1538" operator="between">
      <formula>0.2551</formula>
      <formula>0.3751</formula>
    </cfRule>
    <cfRule type="cellIs" dxfId="4780" priority="1539" operator="greaterThan">
      <formula>0.505</formula>
    </cfRule>
    <cfRule type="cellIs" dxfId="4779" priority="1540" operator="between">
      <formula>0.48</formula>
      <formula>0.5</formula>
    </cfRule>
    <cfRule type="cellIs" dxfId="4778" priority="1541" stopIfTrue="1" operator="between">
      <formula>0</formula>
      <formula>0.255</formula>
    </cfRule>
  </conditionalFormatting>
  <conditionalFormatting sqref="V308">
    <cfRule type="cellIs" dxfId="4777" priority="1532" operator="between">
      <formula>0.376</formula>
      <formula>0.475</formula>
    </cfRule>
    <cfRule type="cellIs" dxfId="4776" priority="1533" operator="between">
      <formula>0.2551</formula>
      <formula>0.3751</formula>
    </cfRule>
    <cfRule type="cellIs" dxfId="4775" priority="1534" operator="greaterThan">
      <formula>0.505</formula>
    </cfRule>
    <cfRule type="cellIs" dxfId="4774" priority="1535" operator="between">
      <formula>0.48</formula>
      <formula>0.5</formula>
    </cfRule>
    <cfRule type="cellIs" dxfId="4773" priority="1536" stopIfTrue="1" operator="between">
      <formula>0</formula>
      <formula>0.255</formula>
    </cfRule>
  </conditionalFormatting>
  <conditionalFormatting sqref="S310">
    <cfRule type="cellIs" dxfId="4772" priority="1527" operator="between">
      <formula>0.76</formula>
      <formula>0.95</formula>
    </cfRule>
    <cfRule type="cellIs" dxfId="4771" priority="1528" operator="between">
      <formula>0.51</formula>
      <formula>0.75</formula>
    </cfRule>
    <cfRule type="cellIs" dxfId="4770" priority="1529" operator="greaterThan">
      <formula>1</formula>
    </cfRule>
    <cfRule type="cellIs" dxfId="4769" priority="1530" operator="between">
      <formula>0.95</formula>
      <formula>1</formula>
    </cfRule>
    <cfRule type="cellIs" dxfId="4768" priority="1531" stopIfTrue="1" operator="between">
      <formula>0</formula>
      <formula>0.5</formula>
    </cfRule>
  </conditionalFormatting>
  <conditionalFormatting sqref="AG310">
    <cfRule type="cellIs" dxfId="4767" priority="1522" operator="between">
      <formula>0.76</formula>
      <formula>0.95</formula>
    </cfRule>
    <cfRule type="cellIs" dxfId="4766" priority="1523" operator="between">
      <formula>0.51</formula>
      <formula>0.75</formula>
    </cfRule>
    <cfRule type="cellIs" dxfId="4765" priority="1524" operator="greaterThan">
      <formula>1</formula>
    </cfRule>
    <cfRule type="cellIs" dxfId="4764" priority="1525" operator="between">
      <formula>0.95</formula>
      <formula>1</formula>
    </cfRule>
    <cfRule type="cellIs" dxfId="4763" priority="1526" stopIfTrue="1" operator="between">
      <formula>0</formula>
      <formula>0.5</formula>
    </cfRule>
  </conditionalFormatting>
  <conditionalFormatting sqref="V311">
    <cfRule type="cellIs" dxfId="4762" priority="1517" operator="between">
      <formula>0.376</formula>
      <formula>0.475</formula>
    </cfRule>
    <cfRule type="cellIs" dxfId="4761" priority="1518" operator="between">
      <formula>0.2551</formula>
      <formula>0.3751</formula>
    </cfRule>
    <cfRule type="cellIs" dxfId="4760" priority="1519" operator="greaterThan">
      <formula>0.505</formula>
    </cfRule>
    <cfRule type="cellIs" dxfId="4759" priority="1520" operator="between">
      <formula>0.48</formula>
      <formula>0.5</formula>
    </cfRule>
    <cfRule type="cellIs" dxfId="4758" priority="1521" stopIfTrue="1" operator="between">
      <formula>0</formula>
      <formula>0.255</formula>
    </cfRule>
  </conditionalFormatting>
  <conditionalFormatting sqref="AA311">
    <cfRule type="cellIs" dxfId="4757" priority="1512" operator="between">
      <formula>0.56251</formula>
      <formula>0.7125</formula>
    </cfRule>
    <cfRule type="cellIs" dxfId="4756" priority="1513" operator="between">
      <formula>0.3751</formula>
      <formula>0.5625</formula>
    </cfRule>
    <cfRule type="cellIs" dxfId="4755" priority="1514" operator="greaterThan">
      <formula>0.751</formula>
    </cfRule>
    <cfRule type="cellIs" dxfId="4754" priority="1515" operator="between">
      <formula>0.71251</formula>
      <formula>0.75</formula>
    </cfRule>
    <cfRule type="cellIs" dxfId="4753" priority="1516" stopIfTrue="1" operator="between">
      <formula>0</formula>
      <formula>0.375</formula>
    </cfRule>
  </conditionalFormatting>
  <conditionalFormatting sqref="AC311">
    <cfRule type="cellIs" dxfId="4752" priority="1507" operator="between">
      <formula>0.56251</formula>
      <formula>0.7125</formula>
    </cfRule>
    <cfRule type="cellIs" dxfId="4751" priority="1508" operator="between">
      <formula>0.3751</formula>
      <formula>0.5625</formula>
    </cfRule>
    <cfRule type="cellIs" dxfId="4750" priority="1509" operator="greaterThan">
      <formula>0.751</formula>
    </cfRule>
    <cfRule type="cellIs" dxfId="4749" priority="1510" operator="between">
      <formula>0.71251</formula>
      <formula>0.75</formula>
    </cfRule>
    <cfRule type="cellIs" dxfId="4748" priority="1511" stopIfTrue="1" operator="between">
      <formula>0</formula>
      <formula>0.375</formula>
    </cfRule>
  </conditionalFormatting>
  <conditionalFormatting sqref="AB311">
    <cfRule type="cellIs" dxfId="4747" priority="1502" operator="between">
      <formula>0.56251</formula>
      <formula>0.7125</formula>
    </cfRule>
    <cfRule type="cellIs" dxfId="4746" priority="1503" operator="between">
      <formula>0.3751</formula>
      <formula>0.5625</formula>
    </cfRule>
    <cfRule type="cellIs" dxfId="4745" priority="1504" operator="greaterThan">
      <formula>0.751</formula>
    </cfRule>
    <cfRule type="cellIs" dxfId="4744" priority="1505" operator="between">
      <formula>0.71251</formula>
      <formula>0.75</formula>
    </cfRule>
    <cfRule type="cellIs" dxfId="4743" priority="1506" stopIfTrue="1" operator="between">
      <formula>0</formula>
      <formula>0.375</formula>
    </cfRule>
  </conditionalFormatting>
  <conditionalFormatting sqref="AI311">
    <cfRule type="cellIs" dxfId="4742" priority="1497" operator="between">
      <formula>0.76</formula>
      <formula>0.95</formula>
    </cfRule>
    <cfRule type="cellIs" dxfId="4741" priority="1498" operator="between">
      <formula>0.51</formula>
      <formula>0.75</formula>
    </cfRule>
    <cfRule type="cellIs" dxfId="4740" priority="1499" operator="greaterThan">
      <formula>1</formula>
    </cfRule>
    <cfRule type="cellIs" dxfId="4739" priority="1500" operator="between">
      <formula>0.95</formula>
      <formula>1</formula>
    </cfRule>
    <cfRule type="cellIs" dxfId="4738" priority="1501" stopIfTrue="1" operator="between">
      <formula>0</formula>
      <formula>0.5</formula>
    </cfRule>
  </conditionalFormatting>
  <conditionalFormatting sqref="AH311">
    <cfRule type="cellIs" dxfId="4737" priority="1492" operator="between">
      <formula>0.76</formula>
      <formula>0.95</formula>
    </cfRule>
    <cfRule type="cellIs" dxfId="4736" priority="1493" operator="between">
      <formula>0.51</formula>
      <formula>0.75</formula>
    </cfRule>
    <cfRule type="cellIs" dxfId="4735" priority="1494" operator="greaterThan">
      <formula>1</formula>
    </cfRule>
    <cfRule type="cellIs" dxfId="4734" priority="1495" operator="between">
      <formula>0.95</formula>
      <formula>1</formula>
    </cfRule>
    <cfRule type="cellIs" dxfId="4733" priority="1496" stopIfTrue="1" operator="between">
      <formula>0</formula>
      <formula>0.5</formula>
    </cfRule>
  </conditionalFormatting>
  <conditionalFormatting sqref="AG357">
    <cfRule type="cellIs" dxfId="4732" priority="1487" operator="between">
      <formula>0.76</formula>
      <formula>0.95</formula>
    </cfRule>
    <cfRule type="cellIs" dxfId="4731" priority="1488" operator="between">
      <formula>0.51</formula>
      <formula>0.75</formula>
    </cfRule>
    <cfRule type="cellIs" dxfId="4730" priority="1489" operator="greaterThan">
      <formula>1</formula>
    </cfRule>
    <cfRule type="cellIs" dxfId="4729" priority="1490" operator="between">
      <formula>0.95</formula>
      <formula>1</formula>
    </cfRule>
    <cfRule type="cellIs" dxfId="4728" priority="1491" stopIfTrue="1" operator="between">
      <formula>0</formula>
      <formula>0.5</formula>
    </cfRule>
  </conditionalFormatting>
  <conditionalFormatting sqref="T208">
    <cfRule type="cellIs" dxfId="4727" priority="1477" operator="between">
      <formula>0.3751</formula>
      <formula>0.475</formula>
    </cfRule>
    <cfRule type="cellIs" dxfId="4726" priority="1478" operator="between">
      <formula>0.2551</formula>
      <formula>0.375</formula>
    </cfRule>
    <cfRule type="cellIs" dxfId="4725" priority="1479" operator="greaterThan">
      <formula>0.505</formula>
    </cfRule>
    <cfRule type="cellIs" dxfId="4724" priority="1480" operator="between">
      <formula>0.48</formula>
      <formula>0.5</formula>
    </cfRule>
    <cfRule type="cellIs" dxfId="4723" priority="1481" stopIfTrue="1" operator="between">
      <formula>0</formula>
      <formula>0.255</formula>
    </cfRule>
  </conditionalFormatting>
  <conditionalFormatting sqref="U208:V208">
    <cfRule type="cellIs" dxfId="4722" priority="1472" operator="between">
      <formula>0.376</formula>
      <formula>0.475</formula>
    </cfRule>
    <cfRule type="cellIs" dxfId="4721" priority="1473" operator="between">
      <formula>0.2551</formula>
      <formula>0.3751</formula>
    </cfRule>
    <cfRule type="cellIs" dxfId="4720" priority="1474" operator="greaterThan">
      <formula>0.505</formula>
    </cfRule>
    <cfRule type="cellIs" dxfId="4719" priority="1475" operator="between">
      <formula>0.48</formula>
      <formula>0.5</formula>
    </cfRule>
    <cfRule type="cellIs" dxfId="4718" priority="1476" stopIfTrue="1" operator="between">
      <formula>0</formula>
      <formula>0.255</formula>
    </cfRule>
  </conditionalFormatting>
  <conditionalFormatting sqref="N366:O366">
    <cfRule type="cellIs" dxfId="4717" priority="1462" operator="between">
      <formula>0.1876</formula>
      <formula>0.2375</formula>
    </cfRule>
    <cfRule type="cellIs" dxfId="4716" priority="1463" operator="between">
      <formula>0.1251</formula>
      <formula>0.1875</formula>
    </cfRule>
    <cfRule type="cellIs" dxfId="4715" priority="1464" operator="greaterThan">
      <formula>0.25</formula>
    </cfRule>
    <cfRule type="cellIs" dxfId="4714" priority="1465" operator="between">
      <formula>0.2376</formula>
      <formula>0.25</formula>
    </cfRule>
    <cfRule type="cellIs" dxfId="4713" priority="1466" stopIfTrue="1" operator="between">
      <formula>0</formula>
      <formula>0.25</formula>
    </cfRule>
  </conditionalFormatting>
  <conditionalFormatting sqref="N367:O367">
    <cfRule type="cellIs" dxfId="4712" priority="1457" operator="between">
      <formula>0.1876</formula>
      <formula>0.2375</formula>
    </cfRule>
    <cfRule type="cellIs" dxfId="4711" priority="1458" operator="between">
      <formula>0.1251</formula>
      <formula>0.1875</formula>
    </cfRule>
    <cfRule type="cellIs" dxfId="4710" priority="1459" operator="greaterThan">
      <formula>0.25</formula>
    </cfRule>
    <cfRule type="cellIs" dxfId="4709" priority="1460" operator="between">
      <formula>0.2376</formula>
      <formula>0.25</formula>
    </cfRule>
    <cfRule type="cellIs" dxfId="4708" priority="1461" stopIfTrue="1" operator="between">
      <formula>0</formula>
      <formula>0.25</formula>
    </cfRule>
  </conditionalFormatting>
  <conditionalFormatting sqref="S366">
    <cfRule type="cellIs" dxfId="4707" priority="1452" operator="between">
      <formula>0.76</formula>
      <formula>0.95</formula>
    </cfRule>
    <cfRule type="cellIs" dxfId="4706" priority="1453" operator="between">
      <formula>0.51</formula>
      <formula>0.75</formula>
    </cfRule>
    <cfRule type="cellIs" dxfId="4705" priority="1454" operator="greaterThan">
      <formula>1</formula>
    </cfRule>
    <cfRule type="cellIs" dxfId="4704" priority="1455" operator="between">
      <formula>0.95</formula>
      <formula>1</formula>
    </cfRule>
    <cfRule type="cellIs" dxfId="4703" priority="1456" stopIfTrue="1" operator="between">
      <formula>0</formula>
      <formula>0.5</formula>
    </cfRule>
  </conditionalFormatting>
  <conditionalFormatting sqref="U366:V366">
    <cfRule type="cellIs" dxfId="4702" priority="1447" operator="between">
      <formula>0.37505</formula>
      <formula>0.475</formula>
    </cfRule>
    <cfRule type="cellIs" dxfId="4701" priority="1448" operator="between">
      <formula>0.2505</formula>
      <formula>0.375</formula>
    </cfRule>
    <cfRule type="cellIs" dxfId="4700" priority="1449" operator="greaterThan">
      <formula>0.505</formula>
    </cfRule>
    <cfRule type="cellIs" dxfId="4699" priority="1450" operator="between">
      <formula>0.47505</formula>
      <formula>0.5</formula>
    </cfRule>
    <cfRule type="cellIs" dxfId="4698" priority="1451" stopIfTrue="1" operator="between">
      <formula>0</formula>
      <formula>0.25</formula>
    </cfRule>
  </conditionalFormatting>
  <conditionalFormatting sqref="S367">
    <cfRule type="cellIs" dxfId="4697" priority="1442" operator="between">
      <formula>0.76</formula>
      <formula>0.95</formula>
    </cfRule>
    <cfRule type="cellIs" dxfId="4696" priority="1443" operator="between">
      <formula>0.51</formula>
      <formula>0.75</formula>
    </cfRule>
    <cfRule type="cellIs" dxfId="4695" priority="1444" operator="greaterThan">
      <formula>1</formula>
    </cfRule>
    <cfRule type="cellIs" dxfId="4694" priority="1445" operator="between">
      <formula>0.95</formula>
      <formula>1</formula>
    </cfRule>
    <cfRule type="cellIs" dxfId="4693" priority="1446" stopIfTrue="1" operator="between">
      <formula>0</formula>
      <formula>0.5</formula>
    </cfRule>
  </conditionalFormatting>
  <conditionalFormatting sqref="T367">
    <cfRule type="cellIs" dxfId="4692" priority="1437" operator="between">
      <formula>0.37505</formula>
      <formula>0.475</formula>
    </cfRule>
    <cfRule type="cellIs" dxfId="4691" priority="1438" operator="between">
      <formula>0.2505</formula>
      <formula>0.375</formula>
    </cfRule>
    <cfRule type="cellIs" dxfId="4690" priority="1439" operator="greaterThan">
      <formula>0.505</formula>
    </cfRule>
    <cfRule type="cellIs" dxfId="4689" priority="1440" operator="between">
      <formula>0.47505</formula>
      <formula>0.5</formula>
    </cfRule>
    <cfRule type="cellIs" dxfId="4688" priority="1441" stopIfTrue="1" operator="between">
      <formula>0</formula>
      <formula>0.25</formula>
    </cfRule>
  </conditionalFormatting>
  <conditionalFormatting sqref="U367:V367">
    <cfRule type="cellIs" dxfId="4687" priority="1427" operator="between">
      <formula>0.37505</formula>
      <formula>0.475</formula>
    </cfRule>
    <cfRule type="cellIs" dxfId="4686" priority="1428" operator="between">
      <formula>0.2505</formula>
      <formula>0.375</formula>
    </cfRule>
    <cfRule type="cellIs" dxfId="4685" priority="1429" operator="greaterThan">
      <formula>0.505</formula>
    </cfRule>
    <cfRule type="cellIs" dxfId="4684" priority="1430" operator="between">
      <formula>0.47505</formula>
      <formula>0.5</formula>
    </cfRule>
    <cfRule type="cellIs" dxfId="4683" priority="1431" stopIfTrue="1" operator="between">
      <formula>0</formula>
      <formula>0.25</formula>
    </cfRule>
  </conditionalFormatting>
  <conditionalFormatting sqref="S173">
    <cfRule type="cellIs" dxfId="4682" priority="1417" operator="between">
      <formula>0.76</formula>
      <formula>0.95</formula>
    </cfRule>
    <cfRule type="cellIs" dxfId="4681" priority="1418" operator="between">
      <formula>0.51</formula>
      <formula>0.75</formula>
    </cfRule>
    <cfRule type="cellIs" dxfId="4680" priority="1419" operator="greaterThan">
      <formula>1</formula>
    </cfRule>
    <cfRule type="cellIs" dxfId="4679" priority="1420" operator="between">
      <formula>0.96</formula>
      <formula>1</formula>
    </cfRule>
    <cfRule type="cellIs" dxfId="4678" priority="1421" stopIfTrue="1" operator="between">
      <formula>0</formula>
      <formula>0.5</formula>
    </cfRule>
  </conditionalFormatting>
  <conditionalFormatting sqref="V173">
    <cfRule type="cellIs" dxfId="4677" priority="1412" operator="between">
      <formula>0.376</formula>
      <formula>0.475</formula>
    </cfRule>
    <cfRule type="cellIs" dxfId="4676" priority="1413" operator="between">
      <formula>0.2551</formula>
      <formula>0.3751</formula>
    </cfRule>
    <cfRule type="cellIs" dxfId="4675" priority="1414" operator="greaterThan">
      <formula>0.505</formula>
    </cfRule>
    <cfRule type="cellIs" dxfId="4674" priority="1415" operator="between">
      <formula>0.48</formula>
      <formula>0.5</formula>
    </cfRule>
    <cfRule type="cellIs" dxfId="4673" priority="1416" stopIfTrue="1" operator="between">
      <formula>0</formula>
      <formula>0.255</formula>
    </cfRule>
  </conditionalFormatting>
  <conditionalFormatting sqref="Z184">
    <cfRule type="cellIs" dxfId="4672" priority="1407" operator="between">
      <formula>0.76</formula>
      <formula>0.95</formula>
    </cfRule>
    <cfRule type="cellIs" dxfId="4671" priority="1408" operator="between">
      <formula>0.51</formula>
      <formula>0.75</formula>
    </cfRule>
    <cfRule type="cellIs" dxfId="4670" priority="1409" operator="greaterThan">
      <formula>1</formula>
    </cfRule>
    <cfRule type="cellIs" dxfId="4669" priority="1410" operator="between">
      <formula>0.96</formula>
      <formula>1</formula>
    </cfRule>
    <cfRule type="cellIs" dxfId="4668" priority="1411" stopIfTrue="1" operator="between">
      <formula>0</formula>
      <formula>0.5</formula>
    </cfRule>
  </conditionalFormatting>
  <conditionalFormatting sqref="T133">
    <cfRule type="cellIs" dxfId="4667" priority="1402" operator="between">
      <formula>0.3751</formula>
      <formula>0.475</formula>
    </cfRule>
    <cfRule type="cellIs" dxfId="4666" priority="1403" operator="between">
      <formula>0.2551</formula>
      <formula>0.375</formula>
    </cfRule>
    <cfRule type="cellIs" dxfId="4665" priority="1404" operator="greaterThan">
      <formula>0.505</formula>
    </cfRule>
    <cfRule type="cellIs" dxfId="4664" priority="1405" operator="between">
      <formula>0.48</formula>
      <formula>0.5</formula>
    </cfRule>
    <cfRule type="cellIs" dxfId="4663" priority="1406" stopIfTrue="1" operator="between">
      <formula>0</formula>
      <formula>0.255</formula>
    </cfRule>
  </conditionalFormatting>
  <conditionalFormatting sqref="U133:V133">
    <cfRule type="cellIs" dxfId="4662" priority="1397" operator="between">
      <formula>0.376</formula>
      <formula>0.475</formula>
    </cfRule>
    <cfRule type="cellIs" dxfId="4661" priority="1398" operator="between">
      <formula>0.2551</formula>
      <formula>0.3751</formula>
    </cfRule>
    <cfRule type="cellIs" dxfId="4660" priority="1399" operator="greaterThan">
      <formula>0.505</formula>
    </cfRule>
    <cfRule type="cellIs" dxfId="4659" priority="1400" operator="between">
      <formula>0.48</formula>
      <formula>0.5</formula>
    </cfRule>
    <cfRule type="cellIs" dxfId="4658" priority="1401" stopIfTrue="1" operator="between">
      <formula>0</formula>
      <formula>0.255</formula>
    </cfRule>
  </conditionalFormatting>
  <conditionalFormatting sqref="T364">
    <cfRule type="cellIs" dxfId="4657" priority="1392" operator="between">
      <formula>0.3751</formula>
      <formula>0.475</formula>
    </cfRule>
    <cfRule type="cellIs" dxfId="4656" priority="1393" operator="between">
      <formula>0.2551</formula>
      <formula>0.375</formula>
    </cfRule>
    <cfRule type="cellIs" dxfId="4655" priority="1394" operator="greaterThan">
      <formula>0.505</formula>
    </cfRule>
    <cfRule type="cellIs" dxfId="4654" priority="1395" operator="between">
      <formula>0.48</formula>
      <formula>0.5</formula>
    </cfRule>
    <cfRule type="cellIs" dxfId="4653" priority="1396" stopIfTrue="1" operator="between">
      <formula>0</formula>
      <formula>0.255</formula>
    </cfRule>
  </conditionalFormatting>
  <conditionalFormatting sqref="U364">
    <cfRule type="cellIs" dxfId="4652" priority="1387" operator="between">
      <formula>0.376</formula>
      <formula>0.475</formula>
    </cfRule>
    <cfRule type="cellIs" dxfId="4651" priority="1388" operator="between">
      <formula>0.2551</formula>
      <formula>0.3751</formula>
    </cfRule>
    <cfRule type="cellIs" dxfId="4650" priority="1389" operator="greaterThan">
      <formula>0.505</formula>
    </cfRule>
    <cfRule type="cellIs" dxfId="4649" priority="1390" operator="between">
      <formula>0.48</formula>
      <formula>0.5</formula>
    </cfRule>
    <cfRule type="cellIs" dxfId="4648" priority="1391" stopIfTrue="1" operator="between">
      <formula>0</formula>
      <formula>0.255</formula>
    </cfRule>
  </conditionalFormatting>
  <conditionalFormatting sqref="V364">
    <cfRule type="cellIs" dxfId="4647" priority="1382" operator="between">
      <formula>0.376</formula>
      <formula>0.475</formula>
    </cfRule>
    <cfRule type="cellIs" dxfId="4646" priority="1383" operator="between">
      <formula>0.2551</formula>
      <formula>0.3751</formula>
    </cfRule>
    <cfRule type="cellIs" dxfId="4645" priority="1384" operator="greaterThan">
      <formula>0.505</formula>
    </cfRule>
    <cfRule type="cellIs" dxfId="4644" priority="1385" operator="between">
      <formula>0.48</formula>
      <formula>0.5</formula>
    </cfRule>
    <cfRule type="cellIs" dxfId="4643" priority="1386" stopIfTrue="1" operator="between">
      <formula>0</formula>
      <formula>0.255</formula>
    </cfRule>
  </conditionalFormatting>
  <conditionalFormatting sqref="L135">
    <cfRule type="cellIs" dxfId="4642" priority="1377" operator="between">
      <formula>0.76</formula>
      <formula>0.95</formula>
    </cfRule>
    <cfRule type="cellIs" dxfId="4641" priority="1378" operator="between">
      <formula>0.51</formula>
      <formula>0.75</formula>
    </cfRule>
    <cfRule type="cellIs" dxfId="4640" priority="1379" operator="greaterThan">
      <formula>1</formula>
    </cfRule>
    <cfRule type="cellIs" dxfId="4639" priority="1380" operator="between">
      <formula>0.96</formula>
      <formula>1</formula>
    </cfRule>
    <cfRule type="cellIs" dxfId="4638" priority="1381" stopIfTrue="1" operator="between">
      <formula>0</formula>
      <formula>0.5</formula>
    </cfRule>
  </conditionalFormatting>
  <conditionalFormatting sqref="K135">
    <cfRule type="cellIs" dxfId="4637" priority="1372" operator="between">
      <formula>0.76</formula>
      <formula>0.95</formula>
    </cfRule>
    <cfRule type="cellIs" dxfId="4636" priority="1373" operator="between">
      <formula>0.51</formula>
      <formula>0.75</formula>
    </cfRule>
    <cfRule type="cellIs" dxfId="4635" priority="1374" operator="greaterThan">
      <formula>1</formula>
    </cfRule>
    <cfRule type="cellIs" dxfId="4634" priority="1375" operator="between">
      <formula>0.96</formula>
      <formula>1</formula>
    </cfRule>
    <cfRule type="cellIs" dxfId="4633" priority="1376" stopIfTrue="1" operator="between">
      <formula>0</formula>
      <formula>0.5</formula>
    </cfRule>
  </conditionalFormatting>
  <conditionalFormatting sqref="O135">
    <cfRule type="cellIs" dxfId="4632" priority="1367" operator="between">
      <formula>0.1876</formula>
      <formula>0.2375</formula>
    </cfRule>
    <cfRule type="cellIs" dxfId="4631" priority="1368" operator="between">
      <formula>0.1251</formula>
      <formula>0.1875</formula>
    </cfRule>
    <cfRule type="cellIs" dxfId="4630" priority="1369" operator="greaterThan">
      <formula>0.25</formula>
    </cfRule>
    <cfRule type="cellIs" dxfId="4629" priority="1370" operator="between">
      <formula>0.2375</formula>
      <formula>0.25</formula>
    </cfRule>
    <cfRule type="cellIs" dxfId="4628" priority="1371" stopIfTrue="1" operator="between">
      <formula>0</formula>
      <formula>0.125</formula>
    </cfRule>
  </conditionalFormatting>
  <conditionalFormatting sqref="M135:N135">
    <cfRule type="cellIs" dxfId="4627" priority="1362" operator="between">
      <formula>0.1876</formula>
      <formula>0.2375</formula>
    </cfRule>
    <cfRule type="cellIs" dxfId="4626" priority="1363" operator="between">
      <formula>0.1251</formula>
      <formula>0.1875</formula>
    </cfRule>
    <cfRule type="cellIs" dxfId="4625" priority="1364" operator="greaterThan">
      <formula>0.25</formula>
    </cfRule>
    <cfRule type="cellIs" dxfId="4624" priority="1365" operator="between">
      <formula>0.2376</formula>
      <formula>0.25</formula>
    </cfRule>
    <cfRule type="cellIs" dxfId="4623" priority="1366" stopIfTrue="1" operator="between">
      <formula>0</formula>
      <formula>0.125</formula>
    </cfRule>
  </conditionalFormatting>
  <conditionalFormatting sqref="K304:L304">
    <cfRule type="cellIs" dxfId="4622" priority="1357" operator="between">
      <formula>0.76</formula>
      <formula>0.95</formula>
    </cfRule>
    <cfRule type="cellIs" dxfId="4621" priority="1358" operator="between">
      <formula>0.51</formula>
      <formula>0.75</formula>
    </cfRule>
    <cfRule type="cellIs" dxfId="4620" priority="1359" operator="greaterThan">
      <formula>1</formula>
    </cfRule>
    <cfRule type="cellIs" dxfId="4619" priority="1360" operator="between">
      <formula>0.96</formula>
      <formula>1</formula>
    </cfRule>
    <cfRule type="cellIs" dxfId="4618" priority="1361" stopIfTrue="1" operator="between">
      <formula>0</formula>
      <formula>0.5</formula>
    </cfRule>
  </conditionalFormatting>
  <conditionalFormatting sqref="O304">
    <cfRule type="cellIs" dxfId="4617" priority="1352" operator="between">
      <formula>0.1876</formula>
      <formula>0.2375</formula>
    </cfRule>
    <cfRule type="cellIs" dxfId="4616" priority="1353" operator="between">
      <formula>0.1251</formula>
      <formula>0.1875</formula>
    </cfRule>
    <cfRule type="cellIs" dxfId="4615" priority="1354" operator="greaterThan">
      <formula>0.25</formula>
    </cfRule>
    <cfRule type="cellIs" dxfId="4614" priority="1355" operator="between">
      <formula>0.2375</formula>
      <formula>0.25</formula>
    </cfRule>
    <cfRule type="cellIs" dxfId="4613" priority="1356" stopIfTrue="1" operator="between">
      <formula>0</formula>
      <formula>0.125</formula>
    </cfRule>
  </conditionalFormatting>
  <conditionalFormatting sqref="M304:N304">
    <cfRule type="cellIs" dxfId="4612" priority="1347" operator="between">
      <formula>0.1876</formula>
      <formula>0.2375</formula>
    </cfRule>
    <cfRule type="cellIs" dxfId="4611" priority="1348" operator="between">
      <formula>0.1251</formula>
      <formula>0.1875</formula>
    </cfRule>
    <cfRule type="cellIs" dxfId="4610" priority="1349" operator="greaterThan">
      <formula>0.25</formula>
    </cfRule>
    <cfRule type="cellIs" dxfId="4609" priority="1350" operator="between">
      <formula>0.2376</formula>
      <formula>0.25</formula>
    </cfRule>
    <cfRule type="cellIs" dxfId="4608" priority="1351" stopIfTrue="1" operator="between">
      <formula>0</formula>
      <formula>0.125</formula>
    </cfRule>
  </conditionalFormatting>
  <conditionalFormatting sqref="L365">
    <cfRule type="cellIs" dxfId="4607" priority="1342" operator="between">
      <formula>0.7505</formula>
      <formula>0.95</formula>
    </cfRule>
    <cfRule type="cellIs" dxfId="4606" priority="1343" operator="between">
      <formula>0.51</formula>
      <formula>0.75</formula>
    </cfRule>
    <cfRule type="cellIs" dxfId="4605" priority="1344" operator="greaterThan">
      <formula>1</formula>
    </cfRule>
    <cfRule type="cellIs" dxfId="4604" priority="1345" operator="between">
      <formula>0.96</formula>
      <formula>1</formula>
    </cfRule>
    <cfRule type="cellIs" dxfId="4603" priority="1346" stopIfTrue="1" operator="between">
      <formula>0</formula>
      <formula>0.5</formula>
    </cfRule>
  </conditionalFormatting>
  <conditionalFormatting sqref="T161">
    <cfRule type="cellIs" dxfId="4602" priority="1337" operator="between">
      <formula>0.3751</formula>
      <formula>0.475</formula>
    </cfRule>
    <cfRule type="cellIs" dxfId="4601" priority="1338" operator="between">
      <formula>0.2551</formula>
      <formula>0.375</formula>
    </cfRule>
    <cfRule type="cellIs" dxfId="4600" priority="1339" operator="greaterThan">
      <formula>0.505</formula>
    </cfRule>
    <cfRule type="cellIs" dxfId="4599" priority="1340" operator="between">
      <formula>0.48</formula>
      <formula>0.5</formula>
    </cfRule>
    <cfRule type="cellIs" dxfId="4598" priority="1341" stopIfTrue="1" operator="between">
      <formula>0</formula>
      <formula>0.255</formula>
    </cfRule>
  </conditionalFormatting>
  <conditionalFormatting sqref="U161">
    <cfRule type="cellIs" dxfId="4597" priority="1332" operator="between">
      <formula>0.376</formula>
      <formula>0.475</formula>
    </cfRule>
    <cfRule type="cellIs" dxfId="4596" priority="1333" operator="between">
      <formula>0.2551</formula>
      <formula>0.3751</formula>
    </cfRule>
    <cfRule type="cellIs" dxfId="4595" priority="1334" operator="greaterThan">
      <formula>0.505</formula>
    </cfRule>
    <cfRule type="cellIs" dxfId="4594" priority="1335" operator="between">
      <formula>0.48</formula>
      <formula>0.5</formula>
    </cfRule>
    <cfRule type="cellIs" dxfId="4593" priority="1336" stopIfTrue="1" operator="between">
      <formula>0</formula>
      <formula>0.255</formula>
    </cfRule>
  </conditionalFormatting>
  <conditionalFormatting sqref="V161">
    <cfRule type="cellIs" dxfId="4592" priority="1327" operator="between">
      <formula>0.376</formula>
      <formula>0.475</formula>
    </cfRule>
    <cfRule type="cellIs" dxfId="4591" priority="1328" operator="between">
      <formula>0.2551</formula>
      <formula>0.3751</formula>
    </cfRule>
    <cfRule type="cellIs" dxfId="4590" priority="1329" operator="greaterThan">
      <formula>0.505</formula>
    </cfRule>
    <cfRule type="cellIs" dxfId="4589" priority="1330" operator="between">
      <formula>0.48</formula>
      <formula>0.5</formula>
    </cfRule>
    <cfRule type="cellIs" dxfId="4588" priority="1331" stopIfTrue="1" operator="between">
      <formula>0</formula>
      <formula>0.255</formula>
    </cfRule>
  </conditionalFormatting>
  <conditionalFormatting sqref="AA161:AB161">
    <cfRule type="cellIs" dxfId="4587" priority="1322" operator="between">
      <formula>0.56251</formula>
      <formula>0.7125</formula>
    </cfRule>
    <cfRule type="cellIs" dxfId="4586" priority="1323" operator="between">
      <formula>0.3751</formula>
      <formula>0.5625</formula>
    </cfRule>
    <cfRule type="cellIs" dxfId="4585" priority="1324" operator="greaterThan">
      <formula>0.751</formula>
    </cfRule>
    <cfRule type="cellIs" dxfId="4584" priority="1325" operator="between">
      <formula>0.71251</formula>
      <formula>0.75</formula>
    </cfRule>
    <cfRule type="cellIs" dxfId="4583" priority="1326" stopIfTrue="1" operator="between">
      <formula>0</formula>
      <formula>0.375</formula>
    </cfRule>
  </conditionalFormatting>
  <conditionalFormatting sqref="AC161">
    <cfRule type="cellIs" dxfId="4582" priority="1317" operator="between">
      <formula>0.56251</formula>
      <formula>0.7125</formula>
    </cfRule>
    <cfRule type="cellIs" dxfId="4581" priority="1318" operator="between">
      <formula>0.3751</formula>
      <formula>0.5625</formula>
    </cfRule>
    <cfRule type="cellIs" dxfId="4580" priority="1319" operator="greaterThan">
      <formula>0.751</formula>
    </cfRule>
    <cfRule type="cellIs" dxfId="4579" priority="1320" operator="between">
      <formula>0.71251</formula>
      <formula>0.75</formula>
    </cfRule>
    <cfRule type="cellIs" dxfId="4578" priority="1321" stopIfTrue="1" operator="between">
      <formula>0</formula>
      <formula>0.375</formula>
    </cfRule>
  </conditionalFormatting>
  <conditionalFormatting sqref="T206">
    <cfRule type="cellIs" dxfId="4577" priority="1312" operator="between">
      <formula>0.3751</formula>
      <formula>0.475</formula>
    </cfRule>
    <cfRule type="cellIs" dxfId="4576" priority="1313" operator="between">
      <formula>0.2551</formula>
      <formula>0.375</formula>
    </cfRule>
    <cfRule type="cellIs" dxfId="4575" priority="1314" operator="greaterThan">
      <formula>0.505</formula>
    </cfRule>
    <cfRule type="cellIs" dxfId="4574" priority="1315" operator="between">
      <formula>0.48</formula>
      <formula>0.5</formula>
    </cfRule>
    <cfRule type="cellIs" dxfId="4573" priority="1316" stopIfTrue="1" operator="between">
      <formula>0</formula>
      <formula>0.255</formula>
    </cfRule>
  </conditionalFormatting>
  <conditionalFormatting sqref="U206:V206">
    <cfRule type="cellIs" dxfId="4572" priority="1307" operator="between">
      <formula>0.376</formula>
      <formula>0.475</formula>
    </cfRule>
    <cfRule type="cellIs" dxfId="4571" priority="1308" operator="between">
      <formula>0.2551</formula>
      <formula>0.3751</formula>
    </cfRule>
    <cfRule type="cellIs" dxfId="4570" priority="1309" operator="greaterThan">
      <formula>0.505</formula>
    </cfRule>
    <cfRule type="cellIs" dxfId="4569" priority="1310" operator="between">
      <formula>0.48</formula>
      <formula>0.5</formula>
    </cfRule>
    <cfRule type="cellIs" dxfId="4568" priority="1311" stopIfTrue="1" operator="between">
      <formula>0</formula>
      <formula>0.255</formula>
    </cfRule>
  </conditionalFormatting>
  <conditionalFormatting sqref="AA206">
    <cfRule type="cellIs" dxfId="4567" priority="1302" operator="between">
      <formula>0.56251</formula>
      <formula>0.7125</formula>
    </cfRule>
    <cfRule type="cellIs" dxfId="4566" priority="1303" operator="between">
      <formula>0.3751</formula>
      <formula>0.5625</formula>
    </cfRule>
    <cfRule type="cellIs" dxfId="4565" priority="1304" operator="greaterThan">
      <formula>0.751</formula>
    </cfRule>
    <cfRule type="cellIs" dxfId="4564" priority="1305" operator="between">
      <formula>0.71251</formula>
      <formula>0.75</formula>
    </cfRule>
    <cfRule type="cellIs" dxfId="4563" priority="1306" stopIfTrue="1" operator="between">
      <formula>0</formula>
      <formula>0.375</formula>
    </cfRule>
  </conditionalFormatting>
  <conditionalFormatting sqref="AC206">
    <cfRule type="cellIs" dxfId="4562" priority="1297" operator="between">
      <formula>0.56251</formula>
      <formula>0.7125</formula>
    </cfRule>
    <cfRule type="cellIs" dxfId="4561" priority="1298" operator="between">
      <formula>0.3751</formula>
      <formula>0.5625</formula>
    </cfRule>
    <cfRule type="cellIs" dxfId="4560" priority="1299" operator="greaterThan">
      <formula>0.751</formula>
    </cfRule>
    <cfRule type="cellIs" dxfId="4559" priority="1300" operator="between">
      <formula>0.71251</formula>
      <formula>0.75</formula>
    </cfRule>
    <cfRule type="cellIs" dxfId="4558" priority="1301" stopIfTrue="1" operator="between">
      <formula>0</formula>
      <formula>0.375</formula>
    </cfRule>
  </conditionalFormatting>
  <conditionalFormatting sqref="AB206">
    <cfRule type="cellIs" dxfId="4557" priority="1292" operator="between">
      <formula>0.56251</formula>
      <formula>0.7125</formula>
    </cfRule>
    <cfRule type="cellIs" dxfId="4556" priority="1293" operator="between">
      <formula>0.3751</formula>
      <formula>0.5625</formula>
    </cfRule>
    <cfRule type="cellIs" dxfId="4555" priority="1294" operator="greaterThan">
      <formula>0.751</formula>
    </cfRule>
    <cfRule type="cellIs" dxfId="4554" priority="1295" operator="between">
      <formula>0.71251</formula>
      <formula>0.75</formula>
    </cfRule>
    <cfRule type="cellIs" dxfId="4553" priority="1296" stopIfTrue="1" operator="between">
      <formula>0</formula>
      <formula>0.375</formula>
    </cfRule>
  </conditionalFormatting>
  <conditionalFormatting sqref="AI206">
    <cfRule type="cellIs" dxfId="4552" priority="1287" operator="between">
      <formula>0.76</formula>
      <formula>0.95</formula>
    </cfRule>
    <cfRule type="cellIs" dxfId="4551" priority="1288" operator="between">
      <formula>0.51</formula>
      <formula>0.75</formula>
    </cfRule>
    <cfRule type="cellIs" dxfId="4550" priority="1289" operator="greaterThan">
      <formula>1</formula>
    </cfRule>
    <cfRule type="cellIs" dxfId="4549" priority="1290" operator="between">
      <formula>0.95</formula>
      <formula>1</formula>
    </cfRule>
    <cfRule type="cellIs" dxfId="4548" priority="1291" stopIfTrue="1" operator="between">
      <formula>0</formula>
      <formula>0.5</formula>
    </cfRule>
  </conditionalFormatting>
  <conditionalFormatting sqref="AH206">
    <cfRule type="cellIs" dxfId="4547" priority="1282" operator="between">
      <formula>0.76</formula>
      <formula>0.95</formula>
    </cfRule>
    <cfRule type="cellIs" dxfId="4546" priority="1283" operator="between">
      <formula>0.51</formula>
      <formula>0.75</formula>
    </cfRule>
    <cfRule type="cellIs" dxfId="4545" priority="1284" operator="greaterThan">
      <formula>1</formula>
    </cfRule>
    <cfRule type="cellIs" dxfId="4544" priority="1285" operator="between">
      <formula>0.95</formula>
      <formula>1</formula>
    </cfRule>
    <cfRule type="cellIs" dxfId="4543" priority="1286" stopIfTrue="1" operator="between">
      <formula>0</formula>
      <formula>0.5</formula>
    </cfRule>
  </conditionalFormatting>
  <conditionalFormatting sqref="R239:S239">
    <cfRule type="cellIs" dxfId="4542" priority="1252" operator="between">
      <formula>0.76</formula>
      <formula>0.95</formula>
    </cfRule>
    <cfRule type="cellIs" dxfId="4541" priority="1253" operator="between">
      <formula>0.51</formula>
      <formula>0.75</formula>
    </cfRule>
    <cfRule type="cellIs" dxfId="4540" priority="1254" operator="greaterThan">
      <formula>1</formula>
    </cfRule>
    <cfRule type="cellIs" dxfId="4539" priority="1255" operator="between">
      <formula>0.96</formula>
      <formula>1</formula>
    </cfRule>
    <cfRule type="cellIs" dxfId="4538" priority="1256" stopIfTrue="1" operator="between">
      <formula>0</formula>
      <formula>0.5</formula>
    </cfRule>
  </conditionalFormatting>
  <conditionalFormatting sqref="V239">
    <cfRule type="cellIs" dxfId="4537" priority="1247" operator="between">
      <formula>0.1876</formula>
      <formula>0.2375</formula>
    </cfRule>
    <cfRule type="cellIs" dxfId="4536" priority="1248" operator="between">
      <formula>0.1251</formula>
      <formula>0.1875</formula>
    </cfRule>
    <cfRule type="cellIs" dxfId="4535" priority="1249" operator="greaterThan">
      <formula>0.25</formula>
    </cfRule>
    <cfRule type="cellIs" dxfId="4534" priority="1250" operator="between">
      <formula>0.2375</formula>
      <formula>0.25</formula>
    </cfRule>
    <cfRule type="cellIs" dxfId="4533" priority="1251" stopIfTrue="1" operator="between">
      <formula>0</formula>
      <formula>0.125</formula>
    </cfRule>
  </conditionalFormatting>
  <conditionalFormatting sqref="T239:U239">
    <cfRule type="cellIs" dxfId="4532" priority="1242" operator="between">
      <formula>0.1876</formula>
      <formula>0.2375</formula>
    </cfRule>
    <cfRule type="cellIs" dxfId="4531" priority="1243" operator="between">
      <formula>0.1251</formula>
      <formula>0.1875</formula>
    </cfRule>
    <cfRule type="cellIs" dxfId="4530" priority="1244" operator="greaterThan">
      <formula>0.25</formula>
    </cfRule>
    <cfRule type="cellIs" dxfId="4529" priority="1245" operator="between">
      <formula>0.2376</formula>
      <formula>0.25</formula>
    </cfRule>
    <cfRule type="cellIs" dxfId="4528" priority="1246" stopIfTrue="1" operator="between">
      <formula>0</formula>
      <formula>0.125</formula>
    </cfRule>
  </conditionalFormatting>
  <conditionalFormatting sqref="AC239">
    <cfRule type="cellIs" dxfId="4527" priority="1237" operator="between">
      <formula>0.1876</formula>
      <formula>0.2375</formula>
    </cfRule>
    <cfRule type="cellIs" dxfId="4526" priority="1238" operator="between">
      <formula>0.1251</formula>
      <formula>0.1875</formula>
    </cfRule>
    <cfRule type="cellIs" dxfId="4525" priority="1239" operator="greaterThan">
      <formula>0.25</formula>
    </cfRule>
    <cfRule type="cellIs" dxfId="4524" priority="1240" operator="between">
      <formula>0.2375</formula>
      <formula>0.25</formula>
    </cfRule>
    <cfRule type="cellIs" dxfId="4523" priority="1241" stopIfTrue="1" operator="between">
      <formula>0</formula>
      <formula>0.125</formula>
    </cfRule>
  </conditionalFormatting>
  <conditionalFormatting sqref="AA239:AB239">
    <cfRule type="cellIs" dxfId="4522" priority="1232" operator="between">
      <formula>0.1876</formula>
      <formula>0.2375</formula>
    </cfRule>
    <cfRule type="cellIs" dxfId="4521" priority="1233" operator="between">
      <formula>0.1251</formula>
      <formula>0.1875</formula>
    </cfRule>
    <cfRule type="cellIs" dxfId="4520" priority="1234" operator="greaterThan">
      <formula>0.25</formula>
    </cfRule>
    <cfRule type="cellIs" dxfId="4519" priority="1235" operator="between">
      <formula>0.2376</formula>
      <formula>0.25</formula>
    </cfRule>
    <cfRule type="cellIs" dxfId="4518" priority="1236" stopIfTrue="1" operator="between">
      <formula>0</formula>
      <formula>0.125</formula>
    </cfRule>
  </conditionalFormatting>
  <conditionalFormatting sqref="AH239">
    <cfRule type="cellIs" dxfId="4517" priority="1227" operator="between">
      <formula>0.1876</formula>
      <formula>0.2375</formula>
    </cfRule>
    <cfRule type="cellIs" dxfId="4516" priority="1228" operator="between">
      <formula>0.1251</formula>
      <formula>0.1875</formula>
    </cfRule>
    <cfRule type="cellIs" dxfId="4515" priority="1229" operator="greaterThan">
      <formula>0.25</formula>
    </cfRule>
    <cfRule type="cellIs" dxfId="4514" priority="1230" operator="between">
      <formula>0.2376</formula>
      <formula>0.25</formula>
    </cfRule>
    <cfRule type="cellIs" dxfId="4513" priority="1231" stopIfTrue="1" operator="between">
      <formula>0</formula>
      <formula>0.125</formula>
    </cfRule>
  </conditionalFormatting>
  <conditionalFormatting sqref="T169">
    <cfRule type="cellIs" dxfId="4512" priority="1222" operator="between">
      <formula>0.3751</formula>
      <formula>0.475</formula>
    </cfRule>
    <cfRule type="cellIs" dxfId="4511" priority="1223" operator="between">
      <formula>0.2551</formula>
      <formula>0.375</formula>
    </cfRule>
    <cfRule type="cellIs" dxfId="4510" priority="1224" operator="greaterThan">
      <formula>0.505</formula>
    </cfRule>
    <cfRule type="cellIs" dxfId="4509" priority="1225" operator="between">
      <formula>0.48</formula>
      <formula>0.5</formula>
    </cfRule>
    <cfRule type="cellIs" dxfId="4508" priority="1226" stopIfTrue="1" operator="between">
      <formula>0</formula>
      <formula>0.255</formula>
    </cfRule>
  </conditionalFormatting>
  <conditionalFormatting sqref="U169:V169">
    <cfRule type="cellIs" dxfId="4507" priority="1217" operator="between">
      <formula>0.376</formula>
      <formula>0.475</formula>
    </cfRule>
    <cfRule type="cellIs" dxfId="4506" priority="1218" operator="between">
      <formula>0.2551</formula>
      <formula>0.3751</formula>
    </cfRule>
    <cfRule type="cellIs" dxfId="4505" priority="1219" operator="greaterThan">
      <formula>0.505</formula>
    </cfRule>
    <cfRule type="cellIs" dxfId="4504" priority="1220" operator="between">
      <formula>0.48</formula>
      <formula>0.5</formula>
    </cfRule>
    <cfRule type="cellIs" dxfId="4503" priority="1221" stopIfTrue="1" operator="between">
      <formula>0</formula>
      <formula>0.255</formula>
    </cfRule>
  </conditionalFormatting>
  <conditionalFormatting sqref="T170">
    <cfRule type="cellIs" dxfId="4502" priority="1212" operator="between">
      <formula>0.3751</formula>
      <formula>0.475</formula>
    </cfRule>
    <cfRule type="cellIs" dxfId="4501" priority="1213" operator="between">
      <formula>0.2551</formula>
      <formula>0.375</formula>
    </cfRule>
    <cfRule type="cellIs" dxfId="4500" priority="1214" operator="greaterThan">
      <formula>0.505</formula>
    </cfRule>
    <cfRule type="cellIs" dxfId="4499" priority="1215" operator="between">
      <formula>0.48</formula>
      <formula>0.5</formula>
    </cfRule>
    <cfRule type="cellIs" dxfId="4498" priority="1216" stopIfTrue="1" operator="between">
      <formula>0</formula>
      <formula>0.255</formula>
    </cfRule>
  </conditionalFormatting>
  <conditionalFormatting sqref="U170:V170">
    <cfRule type="cellIs" dxfId="4497" priority="1207" operator="between">
      <formula>0.376</formula>
      <formula>0.475</formula>
    </cfRule>
    <cfRule type="cellIs" dxfId="4496" priority="1208" operator="between">
      <formula>0.2551</formula>
      <formula>0.3751</formula>
    </cfRule>
    <cfRule type="cellIs" dxfId="4495" priority="1209" operator="greaterThan">
      <formula>0.505</formula>
    </cfRule>
    <cfRule type="cellIs" dxfId="4494" priority="1210" operator="between">
      <formula>0.48</formula>
      <formula>0.5</formula>
    </cfRule>
    <cfRule type="cellIs" dxfId="4493" priority="1211" stopIfTrue="1" operator="between">
      <formula>0</formula>
      <formula>0.255</formula>
    </cfRule>
  </conditionalFormatting>
  <conditionalFormatting sqref="AA170:AC170">
    <cfRule type="cellIs" dxfId="4492" priority="1202" operator="between">
      <formula>0.56251</formula>
      <formula>0.7125</formula>
    </cfRule>
    <cfRule type="cellIs" dxfId="4491" priority="1203" operator="between">
      <formula>0.3751</formula>
      <formula>0.5625</formula>
    </cfRule>
    <cfRule type="cellIs" dxfId="4490" priority="1204" operator="greaterThan">
      <formula>0.751</formula>
    </cfRule>
    <cfRule type="cellIs" dxfId="4489" priority="1205" operator="between">
      <formula>0.71251</formula>
      <formula>0.75</formula>
    </cfRule>
    <cfRule type="cellIs" dxfId="4488" priority="1206" stopIfTrue="1" operator="between">
      <formula>0</formula>
      <formula>0.375</formula>
    </cfRule>
  </conditionalFormatting>
  <conditionalFormatting sqref="AH170:AI170">
    <cfRule type="cellIs" dxfId="4487" priority="1187" operator="between">
      <formula>0.76</formula>
      <formula>0.95</formula>
    </cfRule>
    <cfRule type="cellIs" dxfId="4486" priority="1188" operator="between">
      <formula>0.51</formula>
      <formula>0.75</formula>
    </cfRule>
    <cfRule type="cellIs" dxfId="4485" priority="1189" operator="greaterThan">
      <formula>1</formula>
    </cfRule>
    <cfRule type="cellIs" dxfId="4484" priority="1190" operator="between">
      <formula>0.96</formula>
      <formula>1</formula>
    </cfRule>
    <cfRule type="cellIs" dxfId="4483" priority="1191" stopIfTrue="1" operator="between">
      <formula>0</formula>
      <formula>0.5</formula>
    </cfRule>
  </conditionalFormatting>
  <conditionalFormatting sqref="AI170">
    <cfRule type="cellIs" dxfId="4482" priority="1182" operator="between">
      <formula>0.76</formula>
      <formula>0.95</formula>
    </cfRule>
    <cfRule type="cellIs" dxfId="4481" priority="1183" operator="between">
      <formula>0.51</formula>
      <formula>0.75</formula>
    </cfRule>
    <cfRule type="cellIs" dxfId="4480" priority="1184" operator="greaterThan">
      <formula>1</formula>
    </cfRule>
    <cfRule type="cellIs" dxfId="4479" priority="1185" operator="between">
      <formula>0.95</formula>
      <formula>1</formula>
    </cfRule>
    <cfRule type="cellIs" dxfId="4478" priority="1186" stopIfTrue="1" operator="between">
      <formula>0</formula>
      <formula>0.5</formula>
    </cfRule>
  </conditionalFormatting>
  <conditionalFormatting sqref="T196">
    <cfRule type="cellIs" dxfId="4477" priority="1177" operator="between">
      <formula>0.3751</formula>
      <formula>0.475</formula>
    </cfRule>
    <cfRule type="cellIs" dxfId="4476" priority="1178" operator="between">
      <formula>0.2551</formula>
      <formula>0.375</formula>
    </cfRule>
    <cfRule type="cellIs" dxfId="4475" priority="1179" operator="greaterThan">
      <formula>0.505</formula>
    </cfRule>
    <cfRule type="cellIs" dxfId="4474" priority="1180" operator="between">
      <formula>0.48</formula>
      <formula>0.5</formula>
    </cfRule>
    <cfRule type="cellIs" dxfId="4473" priority="1181" stopIfTrue="1" operator="between">
      <formula>0</formula>
      <formula>0.255</formula>
    </cfRule>
  </conditionalFormatting>
  <conditionalFormatting sqref="U196">
    <cfRule type="cellIs" dxfId="4472" priority="1172" operator="between">
      <formula>0.376</formula>
      <formula>0.475</formula>
    </cfRule>
    <cfRule type="cellIs" dxfId="4471" priority="1173" operator="between">
      <formula>0.2551</formula>
      <formula>0.3751</formula>
    </cfRule>
    <cfRule type="cellIs" dxfId="4470" priority="1174" operator="greaterThan">
      <formula>0.505</formula>
    </cfRule>
    <cfRule type="cellIs" dxfId="4469" priority="1175" operator="between">
      <formula>0.48</formula>
      <formula>0.5</formula>
    </cfRule>
    <cfRule type="cellIs" dxfId="4468" priority="1176" stopIfTrue="1" operator="between">
      <formula>0</formula>
      <formula>0.255</formula>
    </cfRule>
  </conditionalFormatting>
  <conditionalFormatting sqref="V196">
    <cfRule type="cellIs" dxfId="4467" priority="1167" operator="between">
      <formula>0.376</formula>
      <formula>0.475</formula>
    </cfRule>
    <cfRule type="cellIs" dxfId="4466" priority="1168" operator="between">
      <formula>0.2551</formula>
      <formula>0.3751</formula>
    </cfRule>
    <cfRule type="cellIs" dxfId="4465" priority="1169" operator="greaterThan">
      <formula>0.505</formula>
    </cfRule>
    <cfRule type="cellIs" dxfId="4464" priority="1170" operator="between">
      <formula>0.48</formula>
      <formula>0.5</formula>
    </cfRule>
    <cfRule type="cellIs" dxfId="4463" priority="1171" stopIfTrue="1" operator="between">
      <formula>0</formula>
      <formula>0.255</formula>
    </cfRule>
  </conditionalFormatting>
  <conditionalFormatting sqref="T196">
    <cfRule type="cellIs" dxfId="4462" priority="1162" operator="between">
      <formula>0.3751</formula>
      <formula>0.475</formula>
    </cfRule>
    <cfRule type="cellIs" dxfId="4461" priority="1163" operator="between">
      <formula>0.2551</formula>
      <formula>0.375</formula>
    </cfRule>
    <cfRule type="cellIs" dxfId="4460" priority="1164" operator="greaterThan">
      <formula>0.505</formula>
    </cfRule>
    <cfRule type="cellIs" dxfId="4459" priority="1165" operator="between">
      <formula>0.48</formula>
      <formula>0.5</formula>
    </cfRule>
    <cfRule type="cellIs" dxfId="4458" priority="1166" stopIfTrue="1" operator="between">
      <formula>0</formula>
      <formula>0.255</formula>
    </cfRule>
  </conditionalFormatting>
  <conditionalFormatting sqref="U196">
    <cfRule type="cellIs" dxfId="4457" priority="1157" operator="between">
      <formula>0.376</formula>
      <formula>0.475</formula>
    </cfRule>
    <cfRule type="cellIs" dxfId="4456" priority="1158" operator="between">
      <formula>0.2551</formula>
      <formula>0.3751</formula>
    </cfRule>
    <cfRule type="cellIs" dxfId="4455" priority="1159" operator="greaterThan">
      <formula>0.505</formula>
    </cfRule>
    <cfRule type="cellIs" dxfId="4454" priority="1160" operator="between">
      <formula>0.48</formula>
      <formula>0.5</formula>
    </cfRule>
    <cfRule type="cellIs" dxfId="4453" priority="1161" stopIfTrue="1" operator="between">
      <formula>0</formula>
      <formula>0.255</formula>
    </cfRule>
  </conditionalFormatting>
  <conditionalFormatting sqref="V196">
    <cfRule type="cellIs" dxfId="4452" priority="1152" operator="between">
      <formula>0.376</formula>
      <formula>0.475</formula>
    </cfRule>
    <cfRule type="cellIs" dxfId="4451" priority="1153" operator="between">
      <formula>0.2551</formula>
      <formula>0.3751</formula>
    </cfRule>
    <cfRule type="cellIs" dxfId="4450" priority="1154" operator="greaterThan">
      <formula>0.505</formula>
    </cfRule>
    <cfRule type="cellIs" dxfId="4449" priority="1155" operator="between">
      <formula>0.48</formula>
      <formula>0.5</formula>
    </cfRule>
    <cfRule type="cellIs" dxfId="4448" priority="1156" stopIfTrue="1" operator="between">
      <formula>0</formula>
      <formula>0.255</formula>
    </cfRule>
  </conditionalFormatting>
  <conditionalFormatting sqref="AA196:AB196">
    <cfRule type="cellIs" dxfId="4447" priority="1147" operator="between">
      <formula>0.56251</formula>
      <formula>0.7125</formula>
    </cfRule>
    <cfRule type="cellIs" dxfId="4446" priority="1148" operator="between">
      <formula>0.3751</formula>
      <formula>0.5625</formula>
    </cfRule>
    <cfRule type="cellIs" dxfId="4445" priority="1149" operator="greaterThan">
      <formula>0.751</formula>
    </cfRule>
    <cfRule type="cellIs" dxfId="4444" priority="1150" operator="between">
      <formula>0.71251</formula>
      <formula>0.75</formula>
    </cfRule>
    <cfRule type="cellIs" dxfId="4443" priority="1151" stopIfTrue="1" operator="between">
      <formula>0</formula>
      <formula>0.375</formula>
    </cfRule>
  </conditionalFormatting>
  <conditionalFormatting sqref="AA196:AB196">
    <cfRule type="cellIs" dxfId="4442" priority="1137" operator="between">
      <formula>0.56251</formula>
      <formula>0.7125</formula>
    </cfRule>
    <cfRule type="cellIs" dxfId="4441" priority="1138" operator="between">
      <formula>0.3751</formula>
      <formula>0.5625</formula>
    </cfRule>
    <cfRule type="cellIs" dxfId="4440" priority="1139" operator="greaterThan">
      <formula>0.751</formula>
    </cfRule>
    <cfRule type="cellIs" dxfId="4439" priority="1140" operator="between">
      <formula>0.71251</formula>
      <formula>0.75</formula>
    </cfRule>
    <cfRule type="cellIs" dxfId="4438" priority="1141" stopIfTrue="1" operator="between">
      <formula>0</formula>
      <formula>0.375</formula>
    </cfRule>
  </conditionalFormatting>
  <conditionalFormatting sqref="AC196">
    <cfRule type="cellIs" dxfId="4437" priority="1127" operator="between">
      <formula>0.56251</formula>
      <formula>0.7125</formula>
    </cfRule>
    <cfRule type="cellIs" dxfId="4436" priority="1128" operator="between">
      <formula>0.3751</formula>
      <formula>0.5625</formula>
    </cfRule>
    <cfRule type="cellIs" dxfId="4435" priority="1129" operator="greaterThan">
      <formula>0.751</formula>
    </cfRule>
    <cfRule type="cellIs" dxfId="4434" priority="1130" operator="between">
      <formula>0.71251</formula>
      <formula>0.75</formula>
    </cfRule>
    <cfRule type="cellIs" dxfId="4433" priority="1131" stopIfTrue="1" operator="between">
      <formula>0</formula>
      <formula>0.375</formula>
    </cfRule>
  </conditionalFormatting>
  <conditionalFormatting sqref="AH196:AI196">
    <cfRule type="cellIs" dxfId="4432" priority="1122" operator="between">
      <formula>0.76</formula>
      <formula>0.95</formula>
    </cfRule>
    <cfRule type="cellIs" dxfId="4431" priority="1123" operator="between">
      <formula>0.51</formula>
      <formula>0.75</formula>
    </cfRule>
    <cfRule type="cellIs" dxfId="4430" priority="1124" operator="greaterThan">
      <formula>1</formula>
    </cfRule>
    <cfRule type="cellIs" dxfId="4429" priority="1125" operator="between">
      <formula>0.95</formula>
      <formula>1</formula>
    </cfRule>
    <cfRule type="cellIs" dxfId="4428" priority="1126" stopIfTrue="1" operator="between">
      <formula>0</formula>
      <formula>0.5</formula>
    </cfRule>
  </conditionalFormatting>
  <conditionalFormatting sqref="AH196:AI196">
    <cfRule type="cellIs" dxfId="4427" priority="1117" operator="between">
      <formula>0.76</formula>
      <formula>0.95</formula>
    </cfRule>
    <cfRule type="cellIs" dxfId="4426" priority="1118" operator="between">
      <formula>0.51</formula>
      <formula>0.75</formula>
    </cfRule>
    <cfRule type="cellIs" dxfId="4425" priority="1119" operator="greaterThan">
      <formula>1</formula>
    </cfRule>
    <cfRule type="cellIs" dxfId="4424" priority="1120" operator="between">
      <formula>0.95</formula>
      <formula>1</formula>
    </cfRule>
    <cfRule type="cellIs" dxfId="4423" priority="1121" stopIfTrue="1" operator="between">
      <formula>0</formula>
      <formula>0.5</formula>
    </cfRule>
  </conditionalFormatting>
  <conditionalFormatting sqref="Z186">
    <cfRule type="cellIs" dxfId="4422" priority="1112" operator="between">
      <formula>0.76</formula>
      <formula>0.95</formula>
    </cfRule>
    <cfRule type="cellIs" dxfId="4421" priority="1113" operator="between">
      <formula>0.51</formula>
      <formula>0.75</formula>
    </cfRule>
    <cfRule type="cellIs" dxfId="4420" priority="1114" operator="greaterThan">
      <formula>1</formula>
    </cfRule>
    <cfRule type="cellIs" dxfId="4419" priority="1115" operator="between">
      <formula>0.95</formula>
      <formula>1</formula>
    </cfRule>
    <cfRule type="cellIs" dxfId="4418" priority="1116" stopIfTrue="1" operator="between">
      <formula>0</formula>
      <formula>0.5</formula>
    </cfRule>
  </conditionalFormatting>
  <conditionalFormatting sqref="AC186">
    <cfRule type="cellIs" dxfId="4417" priority="1107" operator="between">
      <formula>0.56251</formula>
      <formula>0.7125</formula>
    </cfRule>
    <cfRule type="cellIs" dxfId="4416" priority="1108" operator="between">
      <formula>0.3751</formula>
      <formula>0.5625</formula>
    </cfRule>
    <cfRule type="cellIs" dxfId="4415" priority="1109" operator="greaterThan">
      <formula>0.751</formula>
    </cfRule>
    <cfRule type="cellIs" dxfId="4414" priority="1110" operator="between">
      <formula>0.71251</formula>
      <formula>0.75</formula>
    </cfRule>
    <cfRule type="cellIs" dxfId="4413" priority="1111" stopIfTrue="1" operator="between">
      <formula>0</formula>
      <formula>0.375</formula>
    </cfRule>
  </conditionalFormatting>
  <conditionalFormatting sqref="R224:S224">
    <cfRule type="cellIs" dxfId="4412" priority="1092" operator="between">
      <formula>0.76</formula>
      <formula>0.95</formula>
    </cfRule>
    <cfRule type="cellIs" dxfId="4411" priority="1093" operator="between">
      <formula>0.51</formula>
      <formula>0.75</formula>
    </cfRule>
    <cfRule type="cellIs" dxfId="4410" priority="1094" operator="greaterThan">
      <formula>1</formula>
    </cfRule>
    <cfRule type="cellIs" dxfId="4409" priority="1095" operator="between">
      <formula>0.95</formula>
      <formula>1</formula>
    </cfRule>
    <cfRule type="cellIs" dxfId="4408" priority="1096" stopIfTrue="1" operator="between">
      <formula>0</formula>
      <formula>0.5</formula>
    </cfRule>
  </conditionalFormatting>
  <conditionalFormatting sqref="T224">
    <cfRule type="cellIs" dxfId="4407" priority="1087" operator="between">
      <formula>0.3751</formula>
      <formula>0.475</formula>
    </cfRule>
    <cfRule type="cellIs" dxfId="4406" priority="1088" operator="between">
      <formula>0.2551</formula>
      <formula>0.375</formula>
    </cfRule>
    <cfRule type="cellIs" dxfId="4405" priority="1089" operator="greaterThan">
      <formula>0.505</formula>
    </cfRule>
    <cfRule type="cellIs" dxfId="4404" priority="1090" operator="between">
      <formula>0.48</formula>
      <formula>0.5</formula>
    </cfRule>
    <cfRule type="cellIs" dxfId="4403" priority="1091" stopIfTrue="1" operator="between">
      <formula>0</formula>
      <formula>0.255</formula>
    </cfRule>
  </conditionalFormatting>
  <conditionalFormatting sqref="U224:V224">
    <cfRule type="cellIs" dxfId="4402" priority="1082" operator="between">
      <formula>0.376</formula>
      <formula>0.475</formula>
    </cfRule>
    <cfRule type="cellIs" dxfId="4401" priority="1083" operator="between">
      <formula>0.2551</formula>
      <formula>0.3751</formula>
    </cfRule>
    <cfRule type="cellIs" dxfId="4400" priority="1084" operator="greaterThan">
      <formula>0.505</formula>
    </cfRule>
    <cfRule type="cellIs" dxfId="4399" priority="1085" operator="between">
      <formula>0.48</formula>
      <formula>0.5</formula>
    </cfRule>
    <cfRule type="cellIs" dxfId="4398" priority="1086" stopIfTrue="1" operator="between">
      <formula>0</formula>
      <formula>0.255</formula>
    </cfRule>
  </conditionalFormatting>
  <conditionalFormatting sqref="N90:N91">
    <cfRule type="cellIs" dxfId="4397" priority="1071" operator="between">
      <formula>0.1876</formula>
      <formula>0.2375</formula>
    </cfRule>
    <cfRule type="cellIs" dxfId="4396" priority="1072" operator="between">
      <formula>0.1251</formula>
      <formula>0.1875</formula>
    </cfRule>
    <cfRule type="cellIs" dxfId="4395" priority="1073" operator="greaterThan">
      <formula>0.25</formula>
    </cfRule>
    <cfRule type="cellIs" dxfId="4394" priority="1074" operator="between">
      <formula>0.2376</formula>
      <formula>0.25</formula>
    </cfRule>
    <cfRule type="cellIs" dxfId="4393" priority="1075" stopIfTrue="1" operator="between">
      <formula>0</formula>
      <formula>0.125</formula>
    </cfRule>
  </conditionalFormatting>
  <conditionalFormatting sqref="O90:O91">
    <cfRule type="cellIs" dxfId="4392" priority="1066" operator="between">
      <formula>0.1876</formula>
      <formula>0.2375</formula>
    </cfRule>
    <cfRule type="cellIs" dxfId="4391" priority="1067" operator="between">
      <formula>0.1251</formula>
      <formula>0.1875</formula>
    </cfRule>
    <cfRule type="cellIs" dxfId="4390" priority="1068" operator="greaterThan">
      <formula>0.25</formula>
    </cfRule>
    <cfRule type="cellIs" dxfId="4389" priority="1069" operator="between">
      <formula>0.2376</formula>
      <formula>0.25</formula>
    </cfRule>
    <cfRule type="cellIs" dxfId="4388" priority="1070" stopIfTrue="1" operator="between">
      <formula>0</formula>
      <formula>0.125</formula>
    </cfRule>
  </conditionalFormatting>
  <conditionalFormatting sqref="M90:M91">
    <cfRule type="cellIs" dxfId="4387" priority="1061" operator="between">
      <formula>0.1876</formula>
      <formula>0.2375</formula>
    </cfRule>
    <cfRule type="cellIs" dxfId="4386" priority="1062" operator="between">
      <formula>0.1251</formula>
      <formula>0.1875</formula>
    </cfRule>
    <cfRule type="cellIs" dxfId="4385" priority="1063" operator="greaterThan">
      <formula>0.25</formula>
    </cfRule>
    <cfRule type="cellIs" dxfId="4384" priority="1064" operator="between">
      <formula>0.2375</formula>
      <formula>0.25</formula>
    </cfRule>
    <cfRule type="cellIs" dxfId="4383" priority="1065" stopIfTrue="1" operator="between">
      <formula>0</formula>
      <formula>0.125</formula>
    </cfRule>
  </conditionalFormatting>
  <conditionalFormatting sqref="K90:K91">
    <cfRule type="cellIs" dxfId="4382" priority="1056" operator="between">
      <formula>0.76</formula>
      <formula>0.95</formula>
    </cfRule>
    <cfRule type="cellIs" dxfId="4381" priority="1057" operator="between">
      <formula>0.51</formula>
      <formula>0.75</formula>
    </cfRule>
    <cfRule type="cellIs" dxfId="4380" priority="1058" operator="greaterThan">
      <formula>1</formula>
    </cfRule>
    <cfRule type="cellIs" dxfId="4379" priority="1059" operator="between">
      <formula>0.96</formula>
      <formula>1</formula>
    </cfRule>
    <cfRule type="cellIs" dxfId="4378" priority="1060" stopIfTrue="1" operator="between">
      <formula>0</formula>
      <formula>0.5</formula>
    </cfRule>
  </conditionalFormatting>
  <conditionalFormatting sqref="L90:L91">
    <cfRule type="cellIs" dxfId="4377" priority="1051" operator="between">
      <formula>0.76</formula>
      <formula>0.95</formula>
    </cfRule>
    <cfRule type="cellIs" dxfId="4376" priority="1052" operator="between">
      <formula>0.51</formula>
      <formula>0.75</formula>
    </cfRule>
    <cfRule type="cellIs" dxfId="4375" priority="1053" operator="greaterThan">
      <formula>1</formula>
    </cfRule>
    <cfRule type="cellIs" dxfId="4374" priority="1054" operator="between">
      <formula>0.96</formula>
      <formula>1</formula>
    </cfRule>
    <cfRule type="cellIs" dxfId="4373" priority="1055" stopIfTrue="1" operator="between">
      <formula>0</formula>
      <formula>0.5</formula>
    </cfRule>
  </conditionalFormatting>
  <conditionalFormatting sqref="AF90:AF91 R90:R91 Y90:Y91 AH90:AI91">
    <cfRule type="cellIs" dxfId="4372" priority="1046" operator="between">
      <formula>0.76</formula>
      <formula>0.95</formula>
    </cfRule>
    <cfRule type="cellIs" dxfId="4371" priority="1047" operator="between">
      <formula>0.51</formula>
      <formula>0.75</formula>
    </cfRule>
    <cfRule type="cellIs" dxfId="4370" priority="1048" operator="greaterThan">
      <formula>1</formula>
    </cfRule>
    <cfRule type="cellIs" dxfId="4369" priority="1049" operator="between">
      <formula>0.95</formula>
      <formula>1</formula>
    </cfRule>
    <cfRule type="cellIs" dxfId="4368" priority="1050" stopIfTrue="1" operator="between">
      <formula>0</formula>
      <formula>0.5</formula>
    </cfRule>
  </conditionalFormatting>
  <conditionalFormatting sqref="T90:T91">
    <cfRule type="cellIs" dxfId="4367" priority="1041" operator="between">
      <formula>0.3751</formula>
      <formula>0.475</formula>
    </cfRule>
    <cfRule type="cellIs" dxfId="4366" priority="1042" operator="between">
      <formula>0.2551</formula>
      <formula>0.375</formula>
    </cfRule>
    <cfRule type="cellIs" dxfId="4365" priority="1043" operator="greaterThan">
      <formula>0.505</formula>
    </cfRule>
    <cfRule type="cellIs" dxfId="4364" priority="1044" operator="between">
      <formula>0.48</formula>
      <formula>0.5</formula>
    </cfRule>
    <cfRule type="cellIs" dxfId="4363" priority="1045" stopIfTrue="1" operator="between">
      <formula>0</formula>
      <formula>0.255</formula>
    </cfRule>
  </conditionalFormatting>
  <conditionalFormatting sqref="AA90:AB91">
    <cfRule type="cellIs" dxfId="4362" priority="1036" operator="between">
      <formula>0.56251</formula>
      <formula>0.7125</formula>
    </cfRule>
    <cfRule type="cellIs" dxfId="4361" priority="1037" operator="between">
      <formula>0.3751</formula>
      <formula>0.5625</formula>
    </cfRule>
    <cfRule type="cellIs" dxfId="4360" priority="1038" operator="greaterThan">
      <formula>0.751</formula>
    </cfRule>
    <cfRule type="cellIs" dxfId="4359" priority="1039" operator="between">
      <formula>0.71251</formula>
      <formula>0.75</formula>
    </cfRule>
    <cfRule type="cellIs" dxfId="4358" priority="1040" stopIfTrue="1" operator="between">
      <formula>0</formula>
      <formula>0.375</formula>
    </cfRule>
  </conditionalFormatting>
  <conditionalFormatting sqref="U90:U91">
    <cfRule type="cellIs" dxfId="4357" priority="1031" operator="between">
      <formula>0.376</formula>
      <formula>0.475</formula>
    </cfRule>
    <cfRule type="cellIs" dxfId="4356" priority="1032" operator="between">
      <formula>0.2551</formula>
      <formula>0.3751</formula>
    </cfRule>
    <cfRule type="cellIs" dxfId="4355" priority="1033" operator="greaterThan">
      <formula>0.505</formula>
    </cfRule>
    <cfRule type="cellIs" dxfId="4354" priority="1034" operator="between">
      <formula>0.48</formula>
      <formula>0.5</formula>
    </cfRule>
    <cfRule type="cellIs" dxfId="4353" priority="1035" stopIfTrue="1" operator="between">
      <formula>0</formula>
      <formula>0.255</formula>
    </cfRule>
  </conditionalFormatting>
  <conditionalFormatting sqref="Z90:Z91">
    <cfRule type="cellIs" dxfId="4352" priority="1014" operator="between">
      <formula>0.76</formula>
      <formula>0.95</formula>
    </cfRule>
    <cfRule type="cellIs" dxfId="4351" priority="1015" operator="between">
      <formula>0.51</formula>
      <formula>0.75</formula>
    </cfRule>
    <cfRule type="cellIs" dxfId="4350" priority="1016" operator="greaterThan">
      <formula>1</formula>
    </cfRule>
    <cfRule type="cellIs" dxfId="4349" priority="1017" operator="between">
      <formula>0.95</formula>
      <formula>1</formula>
    </cfRule>
    <cfRule type="cellIs" dxfId="4348" priority="1018" stopIfTrue="1" operator="between">
      <formula>0</formula>
      <formula>0.5</formula>
    </cfRule>
  </conditionalFormatting>
  <conditionalFormatting sqref="AC90:AC91">
    <cfRule type="cellIs" dxfId="4347" priority="1009" operator="between">
      <formula>0.56251</formula>
      <formula>0.7125</formula>
    </cfRule>
    <cfRule type="cellIs" dxfId="4346" priority="1010" operator="between">
      <formula>0.3751</formula>
      <formula>0.5625</formula>
    </cfRule>
    <cfRule type="cellIs" dxfId="4345" priority="1011" operator="greaterThan">
      <formula>0.751</formula>
    </cfRule>
    <cfRule type="cellIs" dxfId="4344" priority="1012" operator="between">
      <formula>0.71251</formula>
      <formula>0.75</formula>
    </cfRule>
    <cfRule type="cellIs" dxfId="4343" priority="1013" stopIfTrue="1" operator="between">
      <formula>0</formula>
      <formula>0.375</formula>
    </cfRule>
  </conditionalFormatting>
  <conditionalFormatting sqref="S90:S91">
    <cfRule type="cellIs" dxfId="4342" priority="1004" operator="between">
      <formula>0.76</formula>
      <formula>0.95</formula>
    </cfRule>
    <cfRule type="cellIs" dxfId="4341" priority="1005" operator="between">
      <formula>0.51</formula>
      <formula>0.75</formula>
    </cfRule>
    <cfRule type="cellIs" dxfId="4340" priority="1006" operator="greaterThan">
      <formula>1</formula>
    </cfRule>
    <cfRule type="cellIs" dxfId="4339" priority="1007" operator="between">
      <formula>0.95</formula>
      <formula>1</formula>
    </cfRule>
    <cfRule type="cellIs" dxfId="4338" priority="1008" stopIfTrue="1" operator="between">
      <formula>0</formula>
      <formula>0.5</formula>
    </cfRule>
  </conditionalFormatting>
  <conditionalFormatting sqref="V90:V91">
    <cfRule type="cellIs" dxfId="4337" priority="999" operator="between">
      <formula>0.376</formula>
      <formula>0.475</formula>
    </cfRule>
    <cfRule type="cellIs" dxfId="4336" priority="1000" operator="between">
      <formula>0.2551</formula>
      <formula>0.3751</formula>
    </cfRule>
    <cfRule type="cellIs" dxfId="4335" priority="1001" operator="greaterThan">
      <formula>0.505</formula>
    </cfRule>
    <cfRule type="cellIs" dxfId="4334" priority="1002" operator="between">
      <formula>0.48</formula>
      <formula>0.5</formula>
    </cfRule>
    <cfRule type="cellIs" dxfId="4333" priority="1003" stopIfTrue="1" operator="between">
      <formula>0</formula>
      <formula>0.255</formula>
    </cfRule>
  </conditionalFormatting>
  <conditionalFormatting sqref="AG90:AG91">
    <cfRule type="cellIs" dxfId="4332" priority="994" operator="between">
      <formula>0.76</formula>
      <formula>0.95</formula>
    </cfRule>
    <cfRule type="cellIs" dxfId="4331" priority="995" operator="between">
      <formula>0.51</formula>
      <formula>0.75</formula>
    </cfRule>
    <cfRule type="cellIs" dxfId="4330" priority="996" operator="greaterThan">
      <formula>1</formula>
    </cfRule>
    <cfRule type="cellIs" dxfId="4329" priority="997" operator="between">
      <formula>0.95</formula>
      <formula>1</formula>
    </cfRule>
    <cfRule type="cellIs" dxfId="4328" priority="998" stopIfTrue="1" operator="between">
      <formula>0</formula>
      <formula>0.5</formula>
    </cfRule>
  </conditionalFormatting>
  <conditionalFormatting sqref="Z363">
    <cfRule type="cellIs" dxfId="4327" priority="989" operator="between">
      <formula>0.76</formula>
      <formula>0.95</formula>
    </cfRule>
    <cfRule type="cellIs" dxfId="4326" priority="990" operator="between">
      <formula>0.51</formula>
      <formula>0.75</formula>
    </cfRule>
    <cfRule type="cellIs" dxfId="4325" priority="991" operator="greaterThan">
      <formula>1</formula>
    </cfRule>
    <cfRule type="cellIs" dxfId="4324" priority="992" operator="between">
      <formula>0.96</formula>
      <formula>1</formula>
    </cfRule>
    <cfRule type="cellIs" dxfId="4323" priority="993" stopIfTrue="1" operator="between">
      <formula>0</formula>
      <formula>0.5</formula>
    </cfRule>
  </conditionalFormatting>
  <conditionalFormatting sqref="Z363">
    <cfRule type="cellIs" dxfId="4322" priority="984" operator="between">
      <formula>0.76</formula>
      <formula>0.95</formula>
    </cfRule>
    <cfRule type="cellIs" dxfId="4321" priority="985" operator="between">
      <formula>0.51</formula>
      <formula>0.75</formula>
    </cfRule>
    <cfRule type="cellIs" dxfId="4320" priority="986" operator="greaterThan">
      <formula>1</formula>
    </cfRule>
    <cfRule type="cellIs" dxfId="4319" priority="987" operator="between">
      <formula>0.95</formula>
      <formula>1</formula>
    </cfRule>
    <cfRule type="cellIs" dxfId="4318" priority="988" stopIfTrue="1" operator="between">
      <formula>0</formula>
      <formula>0.5</formula>
    </cfRule>
  </conditionalFormatting>
  <conditionalFormatting sqref="K154:L154">
    <cfRule type="cellIs" dxfId="4317" priority="979" operator="between">
      <formula>0.76</formula>
      <formula>0.95</formula>
    </cfRule>
    <cfRule type="cellIs" dxfId="4316" priority="980" operator="between">
      <formula>0.51</formula>
      <formula>0.75</formula>
    </cfRule>
    <cfRule type="cellIs" dxfId="4315" priority="981" operator="greaterThan">
      <formula>1</formula>
    </cfRule>
    <cfRule type="cellIs" dxfId="4314" priority="982" operator="between">
      <formula>0.96</formula>
      <formula>1</formula>
    </cfRule>
    <cfRule type="cellIs" dxfId="4313" priority="983" stopIfTrue="1" operator="between">
      <formula>0</formula>
      <formula>0.5</formula>
    </cfRule>
  </conditionalFormatting>
  <conditionalFormatting sqref="O154">
    <cfRule type="cellIs" dxfId="4312" priority="974" operator="between">
      <formula>0.1876</formula>
      <formula>0.2375</formula>
    </cfRule>
    <cfRule type="cellIs" dxfId="4311" priority="975" operator="between">
      <formula>0.1251</formula>
      <formula>0.1875</formula>
    </cfRule>
    <cfRule type="cellIs" dxfId="4310" priority="976" operator="greaterThan">
      <formula>0.25</formula>
    </cfRule>
    <cfRule type="cellIs" dxfId="4309" priority="977" operator="between">
      <formula>0.2375</formula>
      <formula>0.25</formula>
    </cfRule>
    <cfRule type="cellIs" dxfId="4308" priority="978" stopIfTrue="1" operator="between">
      <formula>0</formula>
      <formula>0.125</formula>
    </cfRule>
  </conditionalFormatting>
  <conditionalFormatting sqref="M154:N154">
    <cfRule type="cellIs" dxfId="4307" priority="969" operator="between">
      <formula>0.1876</formula>
      <formula>0.2375</formula>
    </cfRule>
    <cfRule type="cellIs" dxfId="4306" priority="970" operator="between">
      <formula>0.1251</formula>
      <formula>0.1875</formula>
    </cfRule>
    <cfRule type="cellIs" dxfId="4305" priority="971" operator="greaterThan">
      <formula>0.25</formula>
    </cfRule>
    <cfRule type="cellIs" dxfId="4304" priority="972" operator="between">
      <formula>0.2376</formula>
      <formula>0.25</formula>
    </cfRule>
    <cfRule type="cellIs" dxfId="4303" priority="973" stopIfTrue="1" operator="between">
      <formula>0</formula>
      <formula>0.125</formula>
    </cfRule>
  </conditionalFormatting>
  <conditionalFormatting sqref="R154 Y154 AF154:AI154">
    <cfRule type="cellIs" dxfId="4302" priority="964" operator="between">
      <formula>0.76</formula>
      <formula>0.95</formula>
    </cfRule>
    <cfRule type="cellIs" dxfId="4301" priority="965" operator="between">
      <formula>0.51</formula>
      <formula>0.75</formula>
    </cfRule>
    <cfRule type="cellIs" dxfId="4300" priority="966" operator="greaterThan">
      <formula>1</formula>
    </cfRule>
    <cfRule type="cellIs" dxfId="4299" priority="967" operator="between">
      <formula>0.95</formula>
      <formula>1</formula>
    </cfRule>
    <cfRule type="cellIs" dxfId="4298" priority="968" stopIfTrue="1" operator="between">
      <formula>0</formula>
      <formula>0.5</formula>
    </cfRule>
  </conditionalFormatting>
  <conditionalFormatting sqref="T154">
    <cfRule type="cellIs" dxfId="4297" priority="959" operator="between">
      <formula>0.3751</formula>
      <formula>0.475</formula>
    </cfRule>
    <cfRule type="cellIs" dxfId="4296" priority="960" operator="between">
      <formula>0.2551</formula>
      <formula>0.375</formula>
    </cfRule>
    <cfRule type="cellIs" dxfId="4295" priority="961" operator="greaterThan">
      <formula>0.505</formula>
    </cfRule>
    <cfRule type="cellIs" dxfId="4294" priority="962" operator="between">
      <formula>0.48</formula>
      <formula>0.5</formula>
    </cfRule>
    <cfRule type="cellIs" dxfId="4293" priority="963" stopIfTrue="1" operator="between">
      <formula>0</formula>
      <formula>0.255</formula>
    </cfRule>
  </conditionalFormatting>
  <conditionalFormatting sqref="AA154:AB154">
    <cfRule type="cellIs" dxfId="4292" priority="954" operator="between">
      <formula>0.56251</formula>
      <formula>0.7125</formula>
    </cfRule>
    <cfRule type="cellIs" dxfId="4291" priority="955" operator="between">
      <formula>0.3751</formula>
      <formula>0.5625</formula>
    </cfRule>
    <cfRule type="cellIs" dxfId="4290" priority="956" operator="greaterThan">
      <formula>0.751</formula>
    </cfRule>
    <cfRule type="cellIs" dxfId="4289" priority="957" operator="between">
      <formula>0.71251</formula>
      <formula>0.75</formula>
    </cfRule>
    <cfRule type="cellIs" dxfId="4288" priority="958" stopIfTrue="1" operator="between">
      <formula>0</formula>
      <formula>0.375</formula>
    </cfRule>
  </conditionalFormatting>
  <conditionalFormatting sqref="U154">
    <cfRule type="cellIs" dxfId="4287" priority="949" operator="between">
      <formula>0.376</formula>
      <formula>0.475</formula>
    </cfRule>
    <cfRule type="cellIs" dxfId="4286" priority="950" operator="between">
      <formula>0.2551</formula>
      <formula>0.3751</formula>
    </cfRule>
    <cfRule type="cellIs" dxfId="4285" priority="951" operator="greaterThan">
      <formula>0.505</formula>
    </cfRule>
    <cfRule type="cellIs" dxfId="4284" priority="952" operator="between">
      <formula>0.48</formula>
      <formula>0.5</formula>
    </cfRule>
    <cfRule type="cellIs" dxfId="4283" priority="953" stopIfTrue="1" operator="between">
      <formula>0</formula>
      <formula>0.255</formula>
    </cfRule>
  </conditionalFormatting>
  <conditionalFormatting sqref="S154">
    <cfRule type="cellIs" dxfId="4282" priority="929" operator="between">
      <formula>0.76</formula>
      <formula>0.95</formula>
    </cfRule>
    <cfRule type="cellIs" dxfId="4281" priority="930" operator="between">
      <formula>0.51</formula>
      <formula>0.75</formula>
    </cfRule>
    <cfRule type="cellIs" dxfId="4280" priority="931" operator="greaterThan">
      <formula>1</formula>
    </cfRule>
    <cfRule type="cellIs" dxfId="4279" priority="932" operator="between">
      <formula>0.95</formula>
      <formula>1</formula>
    </cfRule>
    <cfRule type="cellIs" dxfId="4278" priority="933" stopIfTrue="1" operator="between">
      <formula>0</formula>
      <formula>0.5</formula>
    </cfRule>
  </conditionalFormatting>
  <conditionalFormatting sqref="V154">
    <cfRule type="cellIs" dxfId="4277" priority="924" operator="between">
      <formula>0.376</formula>
      <formula>0.475</formula>
    </cfRule>
    <cfRule type="cellIs" dxfId="4276" priority="925" operator="between">
      <formula>0.2551</formula>
      <formula>0.3751</formula>
    </cfRule>
    <cfRule type="cellIs" dxfId="4275" priority="926" operator="greaterThan">
      <formula>0.505</formula>
    </cfRule>
    <cfRule type="cellIs" dxfId="4274" priority="927" operator="between">
      <formula>0.48</formula>
      <formula>0.5</formula>
    </cfRule>
    <cfRule type="cellIs" dxfId="4273" priority="928" stopIfTrue="1" operator="between">
      <formula>0</formula>
      <formula>0.255</formula>
    </cfRule>
  </conditionalFormatting>
  <conditionalFormatting sqref="Z154">
    <cfRule type="cellIs" dxfId="4272" priority="919" operator="between">
      <formula>0.76</formula>
      <formula>0.95</formula>
    </cfRule>
    <cfRule type="cellIs" dxfId="4271" priority="920" operator="between">
      <formula>0.51</formula>
      <formula>0.75</formula>
    </cfRule>
    <cfRule type="cellIs" dxfId="4270" priority="921" operator="greaterThan">
      <formula>1</formula>
    </cfRule>
    <cfRule type="cellIs" dxfId="4269" priority="922" operator="between">
      <formula>0.95</formula>
      <formula>1</formula>
    </cfRule>
    <cfRule type="cellIs" dxfId="4268" priority="923" stopIfTrue="1" operator="between">
      <formula>0</formula>
      <formula>0.5</formula>
    </cfRule>
  </conditionalFormatting>
  <conditionalFormatting sqref="AC154">
    <cfRule type="cellIs" dxfId="4267" priority="914" operator="between">
      <formula>0.56251</formula>
      <formula>0.7125</formula>
    </cfRule>
    <cfRule type="cellIs" dxfId="4266" priority="915" operator="between">
      <formula>0.3751</formula>
      <formula>0.5625</formula>
    </cfRule>
    <cfRule type="cellIs" dxfId="4265" priority="916" operator="greaterThan">
      <formula>0.751</formula>
    </cfRule>
    <cfRule type="cellIs" dxfId="4264" priority="917" operator="between">
      <formula>0.71251</formula>
      <formula>0.75</formula>
    </cfRule>
    <cfRule type="cellIs" dxfId="4263" priority="918" stopIfTrue="1" operator="between">
      <formula>0</formula>
      <formula>0.375</formula>
    </cfRule>
  </conditionalFormatting>
  <conditionalFormatting sqref="K155:L157">
    <cfRule type="cellIs" dxfId="4262" priority="909" operator="between">
      <formula>0.76</formula>
      <formula>0.95</formula>
    </cfRule>
    <cfRule type="cellIs" dxfId="4261" priority="910" operator="between">
      <formula>0.51</formula>
      <formula>0.75</formula>
    </cfRule>
    <cfRule type="cellIs" dxfId="4260" priority="911" operator="greaterThan">
      <formula>1</formula>
    </cfRule>
    <cfRule type="cellIs" dxfId="4259" priority="912" operator="between">
      <formula>0.96</formula>
      <formula>1</formula>
    </cfRule>
    <cfRule type="cellIs" dxfId="4258" priority="913" stopIfTrue="1" operator="between">
      <formula>0</formula>
      <formula>0.5</formula>
    </cfRule>
  </conditionalFormatting>
  <conditionalFormatting sqref="O155:O157">
    <cfRule type="cellIs" dxfId="4257" priority="904" operator="between">
      <formula>0.1876</formula>
      <formula>0.2375</formula>
    </cfRule>
    <cfRule type="cellIs" dxfId="4256" priority="905" operator="between">
      <formula>0.1251</formula>
      <formula>0.1875</formula>
    </cfRule>
    <cfRule type="cellIs" dxfId="4255" priority="906" operator="greaterThan">
      <formula>0.25</formula>
    </cfRule>
    <cfRule type="cellIs" dxfId="4254" priority="907" operator="between">
      <formula>0.2375</formula>
      <formula>0.25</formula>
    </cfRule>
    <cfRule type="cellIs" dxfId="4253" priority="908" stopIfTrue="1" operator="between">
      <formula>0</formula>
      <formula>0.125</formula>
    </cfRule>
  </conditionalFormatting>
  <conditionalFormatting sqref="M155:N157">
    <cfRule type="cellIs" dxfId="4252" priority="899" operator="between">
      <formula>0.1876</formula>
      <formula>0.2375</formula>
    </cfRule>
    <cfRule type="cellIs" dxfId="4251" priority="900" operator="between">
      <formula>0.1251</formula>
      <formula>0.1875</formula>
    </cfRule>
    <cfRule type="cellIs" dxfId="4250" priority="901" operator="greaterThan">
      <formula>0.25</formula>
    </cfRule>
    <cfRule type="cellIs" dxfId="4249" priority="902" operator="between">
      <formula>0.2376</formula>
      <formula>0.25</formula>
    </cfRule>
    <cfRule type="cellIs" dxfId="4248" priority="903" stopIfTrue="1" operator="between">
      <formula>0</formula>
      <formula>0.125</formula>
    </cfRule>
  </conditionalFormatting>
  <conditionalFormatting sqref="R155:R157 Y155:Y157 AF155:AI157">
    <cfRule type="cellIs" dxfId="4247" priority="894" operator="between">
      <formula>0.76</formula>
      <formula>0.95</formula>
    </cfRule>
    <cfRule type="cellIs" dxfId="4246" priority="895" operator="between">
      <formula>0.51</formula>
      <formula>0.75</formula>
    </cfRule>
    <cfRule type="cellIs" dxfId="4245" priority="896" operator="greaterThan">
      <formula>1</formula>
    </cfRule>
    <cfRule type="cellIs" dxfId="4244" priority="897" operator="between">
      <formula>0.95</formula>
      <formula>1</formula>
    </cfRule>
    <cfRule type="cellIs" dxfId="4243" priority="898" stopIfTrue="1" operator="between">
      <formula>0</formula>
      <formula>0.5</formula>
    </cfRule>
  </conditionalFormatting>
  <conditionalFormatting sqref="T155:T157">
    <cfRule type="cellIs" dxfId="4242" priority="889" operator="between">
      <formula>0.3751</formula>
      <formula>0.475</formula>
    </cfRule>
    <cfRule type="cellIs" dxfId="4241" priority="890" operator="between">
      <formula>0.2551</formula>
      <formula>0.375</formula>
    </cfRule>
    <cfRule type="cellIs" dxfId="4240" priority="891" operator="greaterThan">
      <formula>0.505</formula>
    </cfRule>
    <cfRule type="cellIs" dxfId="4239" priority="892" operator="between">
      <formula>0.48</formula>
      <formula>0.5</formula>
    </cfRule>
    <cfRule type="cellIs" dxfId="4238" priority="893" stopIfTrue="1" operator="between">
      <formula>0</formula>
      <formula>0.255</formula>
    </cfRule>
  </conditionalFormatting>
  <conditionalFormatting sqref="AA155:AB157">
    <cfRule type="cellIs" dxfId="4237" priority="884" operator="between">
      <formula>0.56251</formula>
      <formula>0.7125</formula>
    </cfRule>
    <cfRule type="cellIs" dxfId="4236" priority="885" operator="between">
      <formula>0.3751</formula>
      <formula>0.5625</formula>
    </cfRule>
    <cfRule type="cellIs" dxfId="4235" priority="886" operator="greaterThan">
      <formula>0.751</formula>
    </cfRule>
    <cfRule type="cellIs" dxfId="4234" priority="887" operator="between">
      <formula>0.71251</formula>
      <formula>0.75</formula>
    </cfRule>
    <cfRule type="cellIs" dxfId="4233" priority="888" stopIfTrue="1" operator="between">
      <formula>0</formula>
      <formula>0.375</formula>
    </cfRule>
  </conditionalFormatting>
  <conditionalFormatting sqref="U155:U157">
    <cfRule type="cellIs" dxfId="4232" priority="879" operator="between">
      <formula>0.376</formula>
      <formula>0.475</formula>
    </cfRule>
    <cfRule type="cellIs" dxfId="4231" priority="880" operator="between">
      <formula>0.2551</formula>
      <formula>0.3751</formula>
    </cfRule>
    <cfRule type="cellIs" dxfId="4230" priority="881" operator="greaterThan">
      <formula>0.505</formula>
    </cfRule>
    <cfRule type="cellIs" dxfId="4229" priority="882" operator="between">
      <formula>0.48</formula>
      <formula>0.5</formula>
    </cfRule>
    <cfRule type="cellIs" dxfId="4228" priority="883" stopIfTrue="1" operator="between">
      <formula>0</formula>
      <formula>0.255</formula>
    </cfRule>
  </conditionalFormatting>
  <conditionalFormatting sqref="S155:S157">
    <cfRule type="cellIs" dxfId="4227" priority="859" operator="between">
      <formula>0.76</formula>
      <formula>0.95</formula>
    </cfRule>
    <cfRule type="cellIs" dxfId="4226" priority="860" operator="between">
      <formula>0.51</formula>
      <formula>0.75</formula>
    </cfRule>
    <cfRule type="cellIs" dxfId="4225" priority="861" operator="greaterThan">
      <formula>1</formula>
    </cfRule>
    <cfRule type="cellIs" dxfId="4224" priority="862" operator="between">
      <formula>0.95</formula>
      <formula>1</formula>
    </cfRule>
    <cfRule type="cellIs" dxfId="4223" priority="863" stopIfTrue="1" operator="between">
      <formula>0</formula>
      <formula>0.5</formula>
    </cfRule>
  </conditionalFormatting>
  <conditionalFormatting sqref="V155:V157">
    <cfRule type="cellIs" dxfId="4222" priority="854" operator="between">
      <formula>0.376</formula>
      <formula>0.475</formula>
    </cfRule>
    <cfRule type="cellIs" dxfId="4221" priority="855" operator="between">
      <formula>0.2551</formula>
      <formula>0.3751</formula>
    </cfRule>
    <cfRule type="cellIs" dxfId="4220" priority="856" operator="greaterThan">
      <formula>0.505</formula>
    </cfRule>
    <cfRule type="cellIs" dxfId="4219" priority="857" operator="between">
      <formula>0.48</formula>
      <formula>0.5</formula>
    </cfRule>
    <cfRule type="cellIs" dxfId="4218" priority="858" stopIfTrue="1" operator="between">
      <formula>0</formula>
      <formula>0.255</formula>
    </cfRule>
  </conditionalFormatting>
  <conditionalFormatting sqref="Z155:Z157">
    <cfRule type="cellIs" dxfId="4217" priority="849" operator="between">
      <formula>0.76</formula>
      <formula>0.95</formula>
    </cfRule>
    <cfRule type="cellIs" dxfId="4216" priority="850" operator="between">
      <formula>0.51</formula>
      <formula>0.75</formula>
    </cfRule>
    <cfRule type="cellIs" dxfId="4215" priority="851" operator="greaterThan">
      <formula>1</formula>
    </cfRule>
    <cfRule type="cellIs" dxfId="4214" priority="852" operator="between">
      <formula>0.95</formula>
      <formula>1</formula>
    </cfRule>
    <cfRule type="cellIs" dxfId="4213" priority="853" stopIfTrue="1" operator="between">
      <formula>0</formula>
      <formula>0.5</formula>
    </cfRule>
  </conditionalFormatting>
  <conditionalFormatting sqref="AC155:AC157">
    <cfRule type="cellIs" dxfId="4212" priority="844" operator="between">
      <formula>0.56251</formula>
      <formula>0.7125</formula>
    </cfRule>
    <cfRule type="cellIs" dxfId="4211" priority="845" operator="between">
      <formula>0.3751</formula>
      <formula>0.5625</formula>
    </cfRule>
    <cfRule type="cellIs" dxfId="4210" priority="846" operator="greaterThan">
      <formula>0.751</formula>
    </cfRule>
    <cfRule type="cellIs" dxfId="4209" priority="847" operator="between">
      <formula>0.71251</formula>
      <formula>0.75</formula>
    </cfRule>
    <cfRule type="cellIs" dxfId="4208" priority="848" stopIfTrue="1" operator="between">
      <formula>0</formula>
      <formula>0.375</formula>
    </cfRule>
  </conditionalFormatting>
  <conditionalFormatting sqref="AG302">
    <cfRule type="cellIs" dxfId="4207" priority="717" operator="between">
      <formula>0.76</formula>
      <formula>0.95</formula>
    </cfRule>
    <cfRule type="cellIs" dxfId="4206" priority="718" operator="between">
      <formula>0.51</formula>
      <formula>0.75</formula>
    </cfRule>
    <cfRule type="cellIs" dxfId="4205" priority="719" operator="greaterThan">
      <formula>1</formula>
    </cfRule>
    <cfRule type="cellIs" dxfId="4204" priority="720" operator="between">
      <formula>0.95</formula>
      <formula>1</formula>
    </cfRule>
    <cfRule type="cellIs" dxfId="4203" priority="721" stopIfTrue="1" operator="between">
      <formula>0</formula>
      <formula>0.5</formula>
    </cfRule>
  </conditionalFormatting>
  <conditionalFormatting sqref="K124:L124">
    <cfRule type="cellIs" dxfId="4202" priority="712" operator="between">
      <formula>0.76</formula>
      <formula>0.95</formula>
    </cfRule>
    <cfRule type="cellIs" dxfId="4201" priority="713" operator="between">
      <formula>0.51</formula>
      <formula>0.75</formula>
    </cfRule>
    <cfRule type="cellIs" dxfId="4200" priority="714" operator="greaterThan">
      <formula>1</formula>
    </cfRule>
    <cfRule type="cellIs" dxfId="4199" priority="715" operator="between">
      <formula>0.96</formula>
      <formula>1</formula>
    </cfRule>
    <cfRule type="cellIs" dxfId="4198" priority="716" stopIfTrue="1" operator="between">
      <formula>0</formula>
      <formula>0.5</formula>
    </cfRule>
  </conditionalFormatting>
  <conditionalFormatting sqref="M124">
    <cfRule type="cellIs" dxfId="4197" priority="707" operator="between">
      <formula>0.1876</formula>
      <formula>0.2375</formula>
    </cfRule>
    <cfRule type="cellIs" dxfId="4196" priority="708" operator="between">
      <formula>0.1251</formula>
      <formula>0.1875</formula>
    </cfRule>
    <cfRule type="cellIs" dxfId="4195" priority="709" operator="greaterThan">
      <formula>0.25</formula>
    </cfRule>
    <cfRule type="cellIs" dxfId="4194" priority="710" operator="between">
      <formula>0.2375</formula>
      <formula>0.25</formula>
    </cfRule>
    <cfRule type="cellIs" dxfId="4193" priority="711" stopIfTrue="1" operator="between">
      <formula>0</formula>
      <formula>0.125</formula>
    </cfRule>
  </conditionalFormatting>
  <conditionalFormatting sqref="N124:O124">
    <cfRule type="cellIs" dxfId="4192" priority="702" operator="between">
      <formula>0.1876</formula>
      <formula>0.2375</formula>
    </cfRule>
    <cfRule type="cellIs" dxfId="4191" priority="703" operator="between">
      <formula>0.1251</formula>
      <formula>0.1875</formula>
    </cfRule>
    <cfRule type="cellIs" dxfId="4190" priority="704" operator="greaterThan">
      <formula>0.25</formula>
    </cfRule>
    <cfRule type="cellIs" dxfId="4189" priority="705" operator="between">
      <formula>0.2376</formula>
      <formula>0.25</formula>
    </cfRule>
    <cfRule type="cellIs" dxfId="4188" priority="706" stopIfTrue="1" operator="between">
      <formula>0</formula>
      <formula>0.125</formula>
    </cfRule>
  </conditionalFormatting>
  <conditionalFormatting sqref="R124 AH124:AI124">
    <cfRule type="cellIs" dxfId="4187" priority="697" operator="between">
      <formula>0.76</formula>
      <formula>0.95</formula>
    </cfRule>
    <cfRule type="cellIs" dxfId="4186" priority="698" operator="between">
      <formula>0.51</formula>
      <formula>0.75</formula>
    </cfRule>
    <cfRule type="cellIs" dxfId="4185" priority="699" operator="greaterThan">
      <formula>1</formula>
    </cfRule>
    <cfRule type="cellIs" dxfId="4184" priority="700" operator="between">
      <formula>0.95</formula>
      <formula>1</formula>
    </cfRule>
    <cfRule type="cellIs" dxfId="4183" priority="701" stopIfTrue="1" operator="between">
      <formula>0</formula>
      <formula>0.5</formula>
    </cfRule>
  </conditionalFormatting>
  <conditionalFormatting sqref="T124">
    <cfRule type="cellIs" dxfId="4182" priority="692" operator="between">
      <formula>0.3751</formula>
      <formula>0.475</formula>
    </cfRule>
    <cfRule type="cellIs" dxfId="4181" priority="693" operator="between">
      <formula>0.2551</formula>
      <formula>0.375</formula>
    </cfRule>
    <cfRule type="cellIs" dxfId="4180" priority="694" operator="greaterThan">
      <formula>0.505</formula>
    </cfRule>
    <cfRule type="cellIs" dxfId="4179" priority="695" operator="between">
      <formula>0.48</formula>
      <formula>0.5</formula>
    </cfRule>
    <cfRule type="cellIs" dxfId="4178" priority="696" stopIfTrue="1" operator="between">
      <formula>0</formula>
      <formula>0.255</formula>
    </cfRule>
  </conditionalFormatting>
  <conditionalFormatting sqref="AA124:AB124">
    <cfRule type="cellIs" dxfId="4177" priority="687" operator="between">
      <formula>0.56251</formula>
      <formula>0.7125</formula>
    </cfRule>
    <cfRule type="cellIs" dxfId="4176" priority="688" operator="between">
      <formula>0.3751</formula>
      <formula>0.5625</formula>
    </cfRule>
    <cfRule type="cellIs" dxfId="4175" priority="689" operator="greaterThan">
      <formula>0.751</formula>
    </cfRule>
    <cfRule type="cellIs" dxfId="4174" priority="690" operator="between">
      <formula>0.71251</formula>
      <formula>0.75</formula>
    </cfRule>
    <cfRule type="cellIs" dxfId="4173" priority="691" stopIfTrue="1" operator="between">
      <formula>0</formula>
      <formula>0.375</formula>
    </cfRule>
  </conditionalFormatting>
  <conditionalFormatting sqref="U124">
    <cfRule type="cellIs" dxfId="4172" priority="682" operator="between">
      <formula>0.376</formula>
      <formula>0.475</formula>
    </cfRule>
    <cfRule type="cellIs" dxfId="4171" priority="683" operator="between">
      <formula>0.2551</formula>
      <formula>0.3751</formula>
    </cfRule>
    <cfRule type="cellIs" dxfId="4170" priority="684" operator="greaterThan">
      <formula>0.505</formula>
    </cfRule>
    <cfRule type="cellIs" dxfId="4169" priority="685" operator="between">
      <formula>0.48</formula>
      <formula>0.5</formula>
    </cfRule>
    <cfRule type="cellIs" dxfId="4168" priority="686" stopIfTrue="1" operator="between">
      <formula>0</formula>
      <formula>0.255</formula>
    </cfRule>
  </conditionalFormatting>
  <conditionalFormatting sqref="S124">
    <cfRule type="cellIs" dxfId="4167" priority="657" operator="between">
      <formula>0.76</formula>
      <formula>0.95</formula>
    </cfRule>
    <cfRule type="cellIs" dxfId="4166" priority="658" operator="between">
      <formula>0.51</formula>
      <formula>0.75</formula>
    </cfRule>
    <cfRule type="cellIs" dxfId="4165" priority="659" operator="greaterThan">
      <formula>1</formula>
    </cfRule>
    <cfRule type="cellIs" dxfId="4164" priority="660" operator="between">
      <formula>0.95</formula>
      <formula>1</formula>
    </cfRule>
    <cfRule type="cellIs" dxfId="4163" priority="661" stopIfTrue="1" operator="between">
      <formula>0</formula>
      <formula>0.5</formula>
    </cfRule>
  </conditionalFormatting>
  <conditionalFormatting sqref="V124">
    <cfRule type="cellIs" dxfId="4162" priority="662" operator="between">
      <formula>0.376</formula>
      <formula>0.475</formula>
    </cfRule>
    <cfRule type="cellIs" dxfId="4161" priority="663" operator="between">
      <formula>0.2551</formula>
      <formula>0.3751</formula>
    </cfRule>
    <cfRule type="cellIs" dxfId="4160" priority="664" operator="greaterThan">
      <formula>0.505</formula>
    </cfRule>
    <cfRule type="cellIs" dxfId="4159" priority="665" operator="between">
      <formula>0.48</formula>
      <formula>0.5</formula>
    </cfRule>
    <cfRule type="cellIs" dxfId="4158" priority="666" stopIfTrue="1" operator="between">
      <formula>0</formula>
      <formula>0.255</formula>
    </cfRule>
  </conditionalFormatting>
  <conditionalFormatting sqref="AC124">
    <cfRule type="cellIs" dxfId="4157" priority="652" operator="between">
      <formula>0.56251</formula>
      <formula>0.7125</formula>
    </cfRule>
    <cfRule type="cellIs" dxfId="4156" priority="653" operator="between">
      <formula>0.3751</formula>
      <formula>0.5625</formula>
    </cfRule>
    <cfRule type="cellIs" dxfId="4155" priority="654" operator="greaterThan">
      <formula>0.751</formula>
    </cfRule>
    <cfRule type="cellIs" dxfId="4154" priority="655" operator="between">
      <formula>0.71251</formula>
      <formula>0.75</formula>
    </cfRule>
    <cfRule type="cellIs" dxfId="4153" priority="656" stopIfTrue="1" operator="between">
      <formula>0</formula>
      <formula>0.375</formula>
    </cfRule>
  </conditionalFormatting>
  <conditionalFormatting sqref="K125:L125">
    <cfRule type="cellIs" dxfId="4152" priority="637" operator="between">
      <formula>0.76</formula>
      <formula>0.95</formula>
    </cfRule>
    <cfRule type="cellIs" dxfId="4151" priority="638" operator="between">
      <formula>0.51</formula>
      <formula>0.75</formula>
    </cfRule>
    <cfRule type="cellIs" dxfId="4150" priority="639" operator="greaterThan">
      <formula>1</formula>
    </cfRule>
    <cfRule type="cellIs" dxfId="4149" priority="640" operator="between">
      <formula>0.96</formula>
      <formula>1</formula>
    </cfRule>
    <cfRule type="cellIs" dxfId="4148" priority="641" stopIfTrue="1" operator="between">
      <formula>0</formula>
      <formula>0.5</formula>
    </cfRule>
  </conditionalFormatting>
  <conditionalFormatting sqref="M125">
    <cfRule type="cellIs" dxfId="4147" priority="632" operator="between">
      <formula>0.1876</formula>
      <formula>0.2375</formula>
    </cfRule>
    <cfRule type="cellIs" dxfId="4146" priority="633" operator="between">
      <formula>0.1251</formula>
      <formula>0.1875</formula>
    </cfRule>
    <cfRule type="cellIs" dxfId="4145" priority="634" operator="greaterThan">
      <formula>0.25</formula>
    </cfRule>
    <cfRule type="cellIs" dxfId="4144" priority="635" operator="between">
      <formula>0.2375</formula>
      <formula>0.25</formula>
    </cfRule>
    <cfRule type="cellIs" dxfId="4143" priority="636" stopIfTrue="1" operator="between">
      <formula>0</formula>
      <formula>0.125</formula>
    </cfRule>
  </conditionalFormatting>
  <conditionalFormatting sqref="N125:O125">
    <cfRule type="cellIs" dxfId="4142" priority="627" operator="between">
      <formula>0.1876</formula>
      <formula>0.2375</formula>
    </cfRule>
    <cfRule type="cellIs" dxfId="4141" priority="628" operator="between">
      <formula>0.1251</formula>
      <formula>0.1875</formula>
    </cfRule>
    <cfRule type="cellIs" dxfId="4140" priority="629" operator="greaterThan">
      <formula>0.25</formula>
    </cfRule>
    <cfRule type="cellIs" dxfId="4139" priority="630" operator="between">
      <formula>0.2376</formula>
      <formula>0.25</formula>
    </cfRule>
    <cfRule type="cellIs" dxfId="4138" priority="631" stopIfTrue="1" operator="between">
      <formula>0</formula>
      <formula>0.125</formula>
    </cfRule>
  </conditionalFormatting>
  <conditionalFormatting sqref="R125 AH125:AI125">
    <cfRule type="cellIs" dxfId="4137" priority="622" operator="between">
      <formula>0.76</formula>
      <formula>0.95</formula>
    </cfRule>
    <cfRule type="cellIs" dxfId="4136" priority="623" operator="between">
      <formula>0.51</formula>
      <formula>0.75</formula>
    </cfRule>
    <cfRule type="cellIs" dxfId="4135" priority="624" operator="greaterThan">
      <formula>1</formula>
    </cfRule>
    <cfRule type="cellIs" dxfId="4134" priority="625" operator="between">
      <formula>0.95</formula>
      <formula>1</formula>
    </cfRule>
    <cfRule type="cellIs" dxfId="4133" priority="626" stopIfTrue="1" operator="between">
      <formula>0</formula>
      <formula>0.5</formula>
    </cfRule>
  </conditionalFormatting>
  <conditionalFormatting sqref="T125">
    <cfRule type="cellIs" dxfId="4132" priority="617" operator="between">
      <formula>0.3751</formula>
      <formula>0.475</formula>
    </cfRule>
    <cfRule type="cellIs" dxfId="4131" priority="618" operator="between">
      <formula>0.2551</formula>
      <formula>0.375</formula>
    </cfRule>
    <cfRule type="cellIs" dxfId="4130" priority="619" operator="greaterThan">
      <formula>0.505</formula>
    </cfRule>
    <cfRule type="cellIs" dxfId="4129" priority="620" operator="between">
      <formula>0.48</formula>
      <formula>0.5</formula>
    </cfRule>
    <cfRule type="cellIs" dxfId="4128" priority="621" stopIfTrue="1" operator="between">
      <formula>0</formula>
      <formula>0.255</formula>
    </cfRule>
  </conditionalFormatting>
  <conditionalFormatting sqref="AA125:AB125">
    <cfRule type="cellIs" dxfId="4127" priority="612" operator="between">
      <formula>0.56251</formula>
      <formula>0.7125</formula>
    </cfRule>
    <cfRule type="cellIs" dxfId="4126" priority="613" operator="between">
      <formula>0.3751</formula>
      <formula>0.5625</formula>
    </cfRule>
    <cfRule type="cellIs" dxfId="4125" priority="614" operator="greaterThan">
      <formula>0.751</formula>
    </cfRule>
    <cfRule type="cellIs" dxfId="4124" priority="615" operator="between">
      <formula>0.71251</formula>
      <formula>0.75</formula>
    </cfRule>
    <cfRule type="cellIs" dxfId="4123" priority="616" stopIfTrue="1" operator="between">
      <formula>0</formula>
      <formula>0.375</formula>
    </cfRule>
  </conditionalFormatting>
  <conditionalFormatting sqref="U125">
    <cfRule type="cellIs" dxfId="4122" priority="607" operator="between">
      <formula>0.376</formula>
      <formula>0.475</formula>
    </cfRule>
    <cfRule type="cellIs" dxfId="4121" priority="608" operator="between">
      <formula>0.2551</formula>
      <formula>0.3751</formula>
    </cfRule>
    <cfRule type="cellIs" dxfId="4120" priority="609" operator="greaterThan">
      <formula>0.505</formula>
    </cfRule>
    <cfRule type="cellIs" dxfId="4119" priority="610" operator="between">
      <formula>0.48</formula>
      <formula>0.5</formula>
    </cfRule>
    <cfRule type="cellIs" dxfId="4118" priority="611" stopIfTrue="1" operator="between">
      <formula>0</formula>
      <formula>0.255</formula>
    </cfRule>
  </conditionalFormatting>
  <conditionalFormatting sqref="S125">
    <cfRule type="cellIs" dxfId="4117" priority="582" operator="between">
      <formula>0.76</formula>
      <formula>0.95</formula>
    </cfRule>
    <cfRule type="cellIs" dxfId="4116" priority="583" operator="between">
      <formula>0.51</formula>
      <formula>0.75</formula>
    </cfRule>
    <cfRule type="cellIs" dxfId="4115" priority="584" operator="greaterThan">
      <formula>1</formula>
    </cfRule>
    <cfRule type="cellIs" dxfId="4114" priority="585" operator="between">
      <formula>0.95</formula>
      <formula>1</formula>
    </cfRule>
    <cfRule type="cellIs" dxfId="4113" priority="586" stopIfTrue="1" operator="between">
      <formula>0</formula>
      <formula>0.5</formula>
    </cfRule>
  </conditionalFormatting>
  <conditionalFormatting sqref="V125">
    <cfRule type="cellIs" dxfId="4112" priority="587" operator="between">
      <formula>0.376</formula>
      <formula>0.475</formula>
    </cfRule>
    <cfRule type="cellIs" dxfId="4111" priority="588" operator="between">
      <formula>0.2551</formula>
      <formula>0.3751</formula>
    </cfRule>
    <cfRule type="cellIs" dxfId="4110" priority="589" operator="greaterThan">
      <formula>0.505</formula>
    </cfRule>
    <cfRule type="cellIs" dxfId="4109" priority="590" operator="between">
      <formula>0.48</formula>
      <formula>0.5</formula>
    </cfRule>
    <cfRule type="cellIs" dxfId="4108" priority="591" stopIfTrue="1" operator="between">
      <formula>0</formula>
      <formula>0.255</formula>
    </cfRule>
  </conditionalFormatting>
  <conditionalFormatting sqref="AC125">
    <cfRule type="cellIs" dxfId="4107" priority="577" operator="between">
      <formula>0.56251</formula>
      <formula>0.7125</formula>
    </cfRule>
    <cfRule type="cellIs" dxfId="4106" priority="578" operator="between">
      <formula>0.3751</formula>
      <formula>0.5625</formula>
    </cfRule>
    <cfRule type="cellIs" dxfId="4105" priority="579" operator="greaterThan">
      <formula>0.751</formula>
    </cfRule>
    <cfRule type="cellIs" dxfId="4104" priority="580" operator="between">
      <formula>0.71251</formula>
      <formula>0.75</formula>
    </cfRule>
    <cfRule type="cellIs" dxfId="4103" priority="581" stopIfTrue="1" operator="between">
      <formula>0</formula>
      <formula>0.375</formula>
    </cfRule>
  </conditionalFormatting>
  <conditionalFormatting sqref="K126:L126">
    <cfRule type="cellIs" dxfId="4102" priority="562" operator="between">
      <formula>0.76</formula>
      <formula>0.95</formula>
    </cfRule>
    <cfRule type="cellIs" dxfId="4101" priority="563" operator="between">
      <formula>0.51</formula>
      <formula>0.75</formula>
    </cfRule>
    <cfRule type="cellIs" dxfId="4100" priority="564" operator="greaterThan">
      <formula>1</formula>
    </cfRule>
    <cfRule type="cellIs" dxfId="4099" priority="565" operator="between">
      <formula>0.96</formula>
      <formula>1</formula>
    </cfRule>
    <cfRule type="cellIs" dxfId="4098" priority="566" stopIfTrue="1" operator="between">
      <formula>0</formula>
      <formula>0.5</formula>
    </cfRule>
  </conditionalFormatting>
  <conditionalFormatting sqref="M126">
    <cfRule type="cellIs" dxfId="4097" priority="557" operator="between">
      <formula>0.1876</formula>
      <formula>0.2375</formula>
    </cfRule>
    <cfRule type="cellIs" dxfId="4096" priority="558" operator="between">
      <formula>0.1251</formula>
      <formula>0.1875</formula>
    </cfRule>
    <cfRule type="cellIs" dxfId="4095" priority="559" operator="greaterThan">
      <formula>0.25</formula>
    </cfRule>
    <cfRule type="cellIs" dxfId="4094" priority="560" operator="between">
      <formula>0.2375</formula>
      <formula>0.25</formula>
    </cfRule>
    <cfRule type="cellIs" dxfId="4093" priority="561" stopIfTrue="1" operator="between">
      <formula>0</formula>
      <formula>0.125</formula>
    </cfRule>
  </conditionalFormatting>
  <conditionalFormatting sqref="N126:O126">
    <cfRule type="cellIs" dxfId="4092" priority="552" operator="between">
      <formula>0.1876</formula>
      <formula>0.2375</formula>
    </cfRule>
    <cfRule type="cellIs" dxfId="4091" priority="553" operator="between">
      <formula>0.1251</formula>
      <formula>0.1875</formula>
    </cfRule>
    <cfRule type="cellIs" dxfId="4090" priority="554" operator="greaterThan">
      <formula>0.25</formula>
    </cfRule>
    <cfRule type="cellIs" dxfId="4089" priority="555" operator="between">
      <formula>0.2376</formula>
      <formula>0.25</formula>
    </cfRule>
    <cfRule type="cellIs" dxfId="4088" priority="556" stopIfTrue="1" operator="between">
      <formula>0</formula>
      <formula>0.125</formula>
    </cfRule>
  </conditionalFormatting>
  <conditionalFormatting sqref="R126 AH126:AI126">
    <cfRule type="cellIs" dxfId="4087" priority="547" operator="between">
      <formula>0.76</formula>
      <formula>0.95</formula>
    </cfRule>
    <cfRule type="cellIs" dxfId="4086" priority="548" operator="between">
      <formula>0.51</formula>
      <formula>0.75</formula>
    </cfRule>
    <cfRule type="cellIs" dxfId="4085" priority="549" operator="greaterThan">
      <formula>1</formula>
    </cfRule>
    <cfRule type="cellIs" dxfId="4084" priority="550" operator="between">
      <formula>0.95</formula>
      <formula>1</formula>
    </cfRule>
    <cfRule type="cellIs" dxfId="4083" priority="551" stopIfTrue="1" operator="between">
      <formula>0</formula>
      <formula>0.5</formula>
    </cfRule>
  </conditionalFormatting>
  <conditionalFormatting sqref="T126">
    <cfRule type="cellIs" dxfId="4082" priority="542" operator="between">
      <formula>0.3751</formula>
      <formula>0.475</formula>
    </cfRule>
    <cfRule type="cellIs" dxfId="4081" priority="543" operator="between">
      <formula>0.2551</formula>
      <formula>0.375</formula>
    </cfRule>
    <cfRule type="cellIs" dxfId="4080" priority="544" operator="greaterThan">
      <formula>0.505</formula>
    </cfRule>
    <cfRule type="cellIs" dxfId="4079" priority="545" operator="between">
      <formula>0.48</formula>
      <formula>0.5</formula>
    </cfRule>
    <cfRule type="cellIs" dxfId="4078" priority="546" stopIfTrue="1" operator="between">
      <formula>0</formula>
      <formula>0.255</formula>
    </cfRule>
  </conditionalFormatting>
  <conditionalFormatting sqref="AA126:AB126">
    <cfRule type="cellIs" dxfId="4077" priority="537" operator="between">
      <formula>0.56251</formula>
      <formula>0.7125</formula>
    </cfRule>
    <cfRule type="cellIs" dxfId="4076" priority="538" operator="between">
      <formula>0.3751</formula>
      <formula>0.5625</formula>
    </cfRule>
    <cfRule type="cellIs" dxfId="4075" priority="539" operator="greaterThan">
      <formula>0.751</formula>
    </cfRule>
    <cfRule type="cellIs" dxfId="4074" priority="540" operator="between">
      <formula>0.71251</formula>
      <formula>0.75</formula>
    </cfRule>
    <cfRule type="cellIs" dxfId="4073" priority="541" stopIfTrue="1" operator="between">
      <formula>0</formula>
      <formula>0.375</formula>
    </cfRule>
  </conditionalFormatting>
  <conditionalFormatting sqref="U126">
    <cfRule type="cellIs" dxfId="4072" priority="532" operator="between">
      <formula>0.376</formula>
      <formula>0.475</formula>
    </cfRule>
    <cfRule type="cellIs" dxfId="4071" priority="533" operator="between">
      <formula>0.2551</formula>
      <formula>0.3751</formula>
    </cfRule>
    <cfRule type="cellIs" dxfId="4070" priority="534" operator="greaterThan">
      <formula>0.505</formula>
    </cfRule>
    <cfRule type="cellIs" dxfId="4069" priority="535" operator="between">
      <formula>0.48</formula>
      <formula>0.5</formula>
    </cfRule>
    <cfRule type="cellIs" dxfId="4068" priority="536" stopIfTrue="1" operator="between">
      <formula>0</formula>
      <formula>0.255</formula>
    </cfRule>
  </conditionalFormatting>
  <conditionalFormatting sqref="S126">
    <cfRule type="cellIs" dxfId="4067" priority="507" operator="between">
      <formula>0.76</formula>
      <formula>0.95</formula>
    </cfRule>
    <cfRule type="cellIs" dxfId="4066" priority="508" operator="between">
      <formula>0.51</formula>
      <formula>0.75</formula>
    </cfRule>
    <cfRule type="cellIs" dxfId="4065" priority="509" operator="greaterThan">
      <formula>1</formula>
    </cfRule>
    <cfRule type="cellIs" dxfId="4064" priority="510" operator="between">
      <formula>0.95</formula>
      <formula>1</formula>
    </cfRule>
    <cfRule type="cellIs" dxfId="4063" priority="511" stopIfTrue="1" operator="between">
      <formula>0</formula>
      <formula>0.5</formula>
    </cfRule>
  </conditionalFormatting>
  <conditionalFormatting sqref="V126">
    <cfRule type="cellIs" dxfId="4062" priority="512" operator="between">
      <formula>0.376</formula>
      <formula>0.475</formula>
    </cfRule>
    <cfRule type="cellIs" dxfId="4061" priority="513" operator="between">
      <formula>0.2551</formula>
      <formula>0.3751</formula>
    </cfRule>
    <cfRule type="cellIs" dxfId="4060" priority="514" operator="greaterThan">
      <formula>0.505</formula>
    </cfRule>
    <cfRule type="cellIs" dxfId="4059" priority="515" operator="between">
      <formula>0.48</formula>
      <formula>0.5</formula>
    </cfRule>
    <cfRule type="cellIs" dxfId="4058" priority="516" stopIfTrue="1" operator="between">
      <formula>0</formula>
      <formula>0.255</formula>
    </cfRule>
  </conditionalFormatting>
  <conditionalFormatting sqref="AC126">
    <cfRule type="cellIs" dxfId="4057" priority="502" operator="between">
      <formula>0.56251</formula>
      <formula>0.7125</formula>
    </cfRule>
    <cfRule type="cellIs" dxfId="4056" priority="503" operator="between">
      <formula>0.3751</formula>
      <formula>0.5625</formula>
    </cfRule>
    <cfRule type="cellIs" dxfId="4055" priority="504" operator="greaterThan">
      <formula>0.751</formula>
    </cfRule>
    <cfRule type="cellIs" dxfId="4054" priority="505" operator="between">
      <formula>0.71251</formula>
      <formula>0.75</formula>
    </cfRule>
    <cfRule type="cellIs" dxfId="4053" priority="506" stopIfTrue="1" operator="between">
      <formula>0</formula>
      <formula>0.375</formula>
    </cfRule>
  </conditionalFormatting>
  <conditionalFormatting sqref="Y125">
    <cfRule type="cellIs" dxfId="4052" priority="487" operator="between">
      <formula>0.76</formula>
      <formula>0.95</formula>
    </cfRule>
    <cfRule type="cellIs" dxfId="4051" priority="488" operator="between">
      <formula>0.51</formula>
      <formula>0.75</formula>
    </cfRule>
    <cfRule type="cellIs" dxfId="4050" priority="489" operator="greaterThan">
      <formula>1</formula>
    </cfRule>
    <cfRule type="cellIs" dxfId="4049" priority="490" operator="between">
      <formula>0.95</formula>
      <formula>1</formula>
    </cfRule>
    <cfRule type="cellIs" dxfId="4048" priority="491" stopIfTrue="1" operator="between">
      <formula>0</formula>
      <formula>0.5</formula>
    </cfRule>
  </conditionalFormatting>
  <conditionalFormatting sqref="Z127">
    <cfRule type="cellIs" dxfId="4047" priority="482" operator="between">
      <formula>0.76</formula>
      <formula>0.95</formula>
    </cfRule>
    <cfRule type="cellIs" dxfId="4046" priority="483" operator="between">
      <formula>0.51</formula>
      <formula>0.75</formula>
    </cfRule>
    <cfRule type="cellIs" dxfId="4045" priority="484" operator="greaterThan">
      <formula>1</formula>
    </cfRule>
    <cfRule type="cellIs" dxfId="4044" priority="485" operator="between">
      <formula>0.95</formula>
      <formula>1</formula>
    </cfRule>
    <cfRule type="cellIs" dxfId="4043" priority="486" stopIfTrue="1" operator="between">
      <formula>0</formula>
      <formula>0.5</formula>
    </cfRule>
  </conditionalFormatting>
  <conditionalFormatting sqref="Y126:Y127">
    <cfRule type="cellIs" dxfId="4042" priority="477" operator="between">
      <formula>0.76</formula>
      <formula>0.95</formula>
    </cfRule>
    <cfRule type="cellIs" dxfId="4041" priority="478" operator="between">
      <formula>0.51</formula>
      <formula>0.75</formula>
    </cfRule>
    <cfRule type="cellIs" dxfId="4040" priority="479" operator="greaterThan">
      <formula>1</formula>
    </cfRule>
    <cfRule type="cellIs" dxfId="4039" priority="480" operator="between">
      <formula>0.95</formula>
      <formula>1</formula>
    </cfRule>
    <cfRule type="cellIs" dxfId="4038" priority="481" stopIfTrue="1" operator="between">
      <formula>0</formula>
      <formula>0.5</formula>
    </cfRule>
  </conditionalFormatting>
  <conditionalFormatting sqref="AF125">
    <cfRule type="cellIs" dxfId="4037" priority="472" operator="between">
      <formula>0.76</formula>
      <formula>0.95</formula>
    </cfRule>
    <cfRule type="cellIs" dxfId="4036" priority="473" operator="between">
      <formula>0.51</formula>
      <formula>0.75</formula>
    </cfRule>
    <cfRule type="cellIs" dxfId="4035" priority="474" operator="greaterThan">
      <formula>1</formula>
    </cfRule>
    <cfRule type="cellIs" dxfId="4034" priority="475" operator="between">
      <formula>0.95</formula>
      <formula>1</formula>
    </cfRule>
    <cfRule type="cellIs" dxfId="4033" priority="476" stopIfTrue="1" operator="between">
      <formula>0</formula>
      <formula>0.5</formula>
    </cfRule>
  </conditionalFormatting>
  <conditionalFormatting sqref="Z125">
    <cfRule type="cellIs" dxfId="4032" priority="467" operator="between">
      <formula>0.76</formula>
      <formula>0.95</formula>
    </cfRule>
    <cfRule type="cellIs" dxfId="4031" priority="468" operator="between">
      <formula>0.51</formula>
      <formula>0.75</formula>
    </cfRule>
    <cfRule type="cellIs" dxfId="4030" priority="469" operator="greaterThan">
      <formula>1</formula>
    </cfRule>
    <cfRule type="cellIs" dxfId="4029" priority="470" operator="between">
      <formula>0.95</formula>
      <formula>1</formula>
    </cfRule>
    <cfRule type="cellIs" dxfId="4028" priority="471" stopIfTrue="1" operator="between">
      <formula>0</formula>
      <formula>0.5</formula>
    </cfRule>
  </conditionalFormatting>
  <conditionalFormatting sqref="Z126">
    <cfRule type="cellIs" dxfId="4027" priority="462" operator="between">
      <formula>0.76</formula>
      <formula>0.95</formula>
    </cfRule>
    <cfRule type="cellIs" dxfId="4026" priority="463" operator="between">
      <formula>0.51</formula>
      <formula>0.75</formula>
    </cfRule>
    <cfRule type="cellIs" dxfId="4025" priority="464" operator="greaterThan">
      <formula>1</formula>
    </cfRule>
    <cfRule type="cellIs" dxfId="4024" priority="465" operator="between">
      <formula>0.95</formula>
      <formula>1</formula>
    </cfRule>
    <cfRule type="cellIs" dxfId="4023" priority="466" stopIfTrue="1" operator="between">
      <formula>0</formula>
      <formula>0.5</formula>
    </cfRule>
  </conditionalFormatting>
  <conditionalFormatting sqref="Z124">
    <cfRule type="cellIs" dxfId="4022" priority="457" operator="between">
      <formula>0.76</formula>
      <formula>0.95</formula>
    </cfRule>
    <cfRule type="cellIs" dxfId="4021" priority="458" operator="between">
      <formula>0.51</formula>
      <formula>0.75</formula>
    </cfRule>
    <cfRule type="cellIs" dxfId="4020" priority="459" operator="greaterThan">
      <formula>1</formula>
    </cfRule>
    <cfRule type="cellIs" dxfId="4019" priority="460" operator="between">
      <formula>0.95</formula>
      <formula>1</formula>
    </cfRule>
    <cfRule type="cellIs" dxfId="4018" priority="461" stopIfTrue="1" operator="between">
      <formula>0</formula>
      <formula>0.5</formula>
    </cfRule>
  </conditionalFormatting>
  <conditionalFormatting sqref="Y124">
    <cfRule type="cellIs" dxfId="4017" priority="452" operator="between">
      <formula>0.76</formula>
      <formula>0.95</formula>
    </cfRule>
    <cfRule type="cellIs" dxfId="4016" priority="453" operator="between">
      <formula>0.51</formula>
      <formula>0.75</formula>
    </cfRule>
    <cfRule type="cellIs" dxfId="4015" priority="454" operator="greaterThan">
      <formula>1</formula>
    </cfRule>
    <cfRule type="cellIs" dxfId="4014" priority="455" operator="between">
      <formula>0.95</formula>
      <formula>1</formula>
    </cfRule>
    <cfRule type="cellIs" dxfId="4013" priority="456" stopIfTrue="1" operator="between">
      <formula>0</formula>
      <formula>0.5</formula>
    </cfRule>
  </conditionalFormatting>
  <conditionalFormatting sqref="AF124">
    <cfRule type="cellIs" dxfId="4012" priority="447" operator="between">
      <formula>0.76</formula>
      <formula>0.95</formula>
    </cfRule>
    <cfRule type="cellIs" dxfId="4011" priority="448" operator="between">
      <formula>0.51</formula>
      <formula>0.75</formula>
    </cfRule>
    <cfRule type="cellIs" dxfId="4010" priority="449" operator="greaterThan">
      <formula>1</formula>
    </cfRule>
    <cfRule type="cellIs" dxfId="4009" priority="450" operator="between">
      <formula>0.95</formula>
      <formula>1</formula>
    </cfRule>
    <cfRule type="cellIs" dxfId="4008" priority="451" stopIfTrue="1" operator="between">
      <formula>0</formula>
      <formula>0.5</formula>
    </cfRule>
  </conditionalFormatting>
  <conditionalFormatting sqref="AG124">
    <cfRule type="cellIs" dxfId="4007" priority="442" operator="between">
      <formula>0.76</formula>
      <formula>0.95</formula>
    </cfRule>
    <cfRule type="cellIs" dxfId="4006" priority="443" operator="between">
      <formula>0.51</formula>
      <formula>0.75</formula>
    </cfRule>
    <cfRule type="cellIs" dxfId="4005" priority="444" operator="greaterThan">
      <formula>1</formula>
    </cfRule>
    <cfRule type="cellIs" dxfId="4004" priority="445" operator="between">
      <formula>0.95</formula>
      <formula>1</formula>
    </cfRule>
    <cfRule type="cellIs" dxfId="4003" priority="446" stopIfTrue="1" operator="between">
      <formula>0</formula>
      <formula>0.5</formula>
    </cfRule>
  </conditionalFormatting>
  <conditionalFormatting sqref="AG125">
    <cfRule type="cellIs" dxfId="4002" priority="437" operator="between">
      <formula>0.76</formula>
      <formula>0.95</formula>
    </cfRule>
    <cfRule type="cellIs" dxfId="4001" priority="438" operator="between">
      <formula>0.51</formula>
      <formula>0.75</formula>
    </cfRule>
    <cfRule type="cellIs" dxfId="4000" priority="439" operator="greaterThan">
      <formula>1</formula>
    </cfRule>
    <cfRule type="cellIs" dxfId="3999" priority="440" operator="between">
      <formula>0.95</formula>
      <formula>1</formula>
    </cfRule>
    <cfRule type="cellIs" dxfId="3998" priority="441" stopIfTrue="1" operator="between">
      <formula>0</formula>
      <formula>0.5</formula>
    </cfRule>
  </conditionalFormatting>
  <conditionalFormatting sqref="AF126">
    <cfRule type="cellIs" dxfId="3997" priority="432" operator="between">
      <formula>0.76</formula>
      <formula>0.95</formula>
    </cfRule>
    <cfRule type="cellIs" dxfId="3996" priority="433" operator="between">
      <formula>0.51</formula>
      <formula>0.75</formula>
    </cfRule>
    <cfRule type="cellIs" dxfId="3995" priority="434" operator="greaterThan">
      <formula>1</formula>
    </cfRule>
    <cfRule type="cellIs" dxfId="3994" priority="435" operator="between">
      <formula>0.95</formula>
      <formula>1</formula>
    </cfRule>
    <cfRule type="cellIs" dxfId="3993" priority="436" stopIfTrue="1" operator="between">
      <formula>0</formula>
      <formula>0.5</formula>
    </cfRule>
  </conditionalFormatting>
  <conditionalFormatting sqref="AG126">
    <cfRule type="cellIs" dxfId="3992" priority="427" operator="between">
      <formula>0.76</formula>
      <formula>0.95</formula>
    </cfRule>
    <cfRule type="cellIs" dxfId="3991" priority="428" operator="between">
      <formula>0.51</formula>
      <formula>0.75</formula>
    </cfRule>
    <cfRule type="cellIs" dxfId="3990" priority="429" operator="greaterThan">
      <formula>1</formula>
    </cfRule>
    <cfRule type="cellIs" dxfId="3989" priority="430" operator="between">
      <formula>0.95</formula>
      <formula>1</formula>
    </cfRule>
    <cfRule type="cellIs" dxfId="3988" priority="431" stopIfTrue="1" operator="between">
      <formula>0</formula>
      <formula>0.5</formula>
    </cfRule>
  </conditionalFormatting>
  <conditionalFormatting sqref="AA199:AB199">
    <cfRule type="cellIs" dxfId="3987" priority="422" operator="between">
      <formula>0.56251</formula>
      <formula>0.7125</formula>
    </cfRule>
    <cfRule type="cellIs" dxfId="3986" priority="423" operator="between">
      <formula>0.3751</formula>
      <formula>0.5625</formula>
    </cfRule>
    <cfRule type="cellIs" dxfId="3985" priority="424" operator="greaterThan">
      <formula>0.751</formula>
    </cfRule>
    <cfRule type="cellIs" dxfId="3984" priority="425" operator="between">
      <formula>0.71251</formula>
      <formula>0.75</formula>
    </cfRule>
    <cfRule type="cellIs" dxfId="3983" priority="426" stopIfTrue="1" operator="between">
      <formula>0</formula>
      <formula>0.375</formula>
    </cfRule>
  </conditionalFormatting>
  <conditionalFormatting sqref="AC199">
    <cfRule type="cellIs" dxfId="3982" priority="417" operator="between">
      <formula>0.56251</formula>
      <formula>0.7125</formula>
    </cfRule>
    <cfRule type="cellIs" dxfId="3981" priority="418" operator="between">
      <formula>0.3751</formula>
      <formula>0.5625</formula>
    </cfRule>
    <cfRule type="cellIs" dxfId="3980" priority="419" operator="greaterThan">
      <formula>0.751</formula>
    </cfRule>
    <cfRule type="cellIs" dxfId="3979" priority="420" operator="between">
      <formula>0.71251</formula>
      <formula>0.75</formula>
    </cfRule>
    <cfRule type="cellIs" dxfId="3978" priority="421" stopIfTrue="1" operator="between">
      <formula>0</formula>
      <formula>0.375</formula>
    </cfRule>
  </conditionalFormatting>
  <conditionalFormatting sqref="AA299:AB299">
    <cfRule type="cellIs" dxfId="3977" priority="412" operator="between">
      <formula>0.56251</formula>
      <formula>0.7125</formula>
    </cfRule>
    <cfRule type="cellIs" dxfId="3976" priority="413" operator="between">
      <formula>0.3751</formula>
      <formula>0.5625</formula>
    </cfRule>
    <cfRule type="cellIs" dxfId="3975" priority="414" operator="greaterThan">
      <formula>0.751</formula>
    </cfRule>
    <cfRule type="cellIs" dxfId="3974" priority="415" operator="between">
      <formula>0.71251</formula>
      <formula>0.75</formula>
    </cfRule>
    <cfRule type="cellIs" dxfId="3973" priority="416" stopIfTrue="1" operator="between">
      <formula>0</formula>
      <formula>0.375</formula>
    </cfRule>
  </conditionalFormatting>
  <conditionalFormatting sqref="AC299">
    <cfRule type="cellIs" dxfId="3972" priority="407" operator="between">
      <formula>0.56251</formula>
      <formula>0.7125</formula>
    </cfRule>
    <cfRule type="cellIs" dxfId="3971" priority="408" operator="between">
      <formula>0.3751</formula>
      <formula>0.5625</formula>
    </cfRule>
    <cfRule type="cellIs" dxfId="3970" priority="409" operator="greaterThan">
      <formula>0.751</formula>
    </cfRule>
    <cfRule type="cellIs" dxfId="3969" priority="410" operator="between">
      <formula>0.71251</formula>
      <formula>0.75</formula>
    </cfRule>
    <cfRule type="cellIs" dxfId="3968" priority="411" stopIfTrue="1" operator="between">
      <formula>0</formula>
      <formula>0.375</formula>
    </cfRule>
  </conditionalFormatting>
  <conditionalFormatting sqref="Z173">
    <cfRule type="cellIs" dxfId="3967" priority="402" operator="between">
      <formula>0.76</formula>
      <formula>0.95</formula>
    </cfRule>
    <cfRule type="cellIs" dxfId="3966" priority="403" operator="between">
      <formula>0.51</formula>
      <formula>0.75</formula>
    </cfRule>
    <cfRule type="cellIs" dxfId="3965" priority="404" operator="greaterThan">
      <formula>1</formula>
    </cfRule>
    <cfRule type="cellIs" dxfId="3964" priority="405" operator="between">
      <formula>0.96</formula>
      <formula>1</formula>
    </cfRule>
    <cfRule type="cellIs" dxfId="3963" priority="406" stopIfTrue="1" operator="between">
      <formula>0</formula>
      <formula>0.5</formula>
    </cfRule>
  </conditionalFormatting>
  <conditionalFormatting sqref="AA133:AB133">
    <cfRule type="cellIs" dxfId="3962" priority="397" operator="between">
      <formula>0.56251</formula>
      <formula>0.7125</formula>
    </cfRule>
    <cfRule type="cellIs" dxfId="3961" priority="398" operator="between">
      <formula>0.3751</formula>
      <formula>0.5625</formula>
    </cfRule>
    <cfRule type="cellIs" dxfId="3960" priority="399" operator="greaterThan">
      <formula>0.751</formula>
    </cfRule>
    <cfRule type="cellIs" dxfId="3959" priority="400" operator="between">
      <formula>0.71251</formula>
      <formula>0.75</formula>
    </cfRule>
    <cfRule type="cellIs" dxfId="3958" priority="401" stopIfTrue="1" operator="between">
      <formula>0</formula>
      <formula>0.375</formula>
    </cfRule>
  </conditionalFormatting>
  <conditionalFormatting sqref="AC133">
    <cfRule type="cellIs" dxfId="3957" priority="392" operator="between">
      <formula>0.56251</formula>
      <formula>0.7125</formula>
    </cfRule>
    <cfRule type="cellIs" dxfId="3956" priority="393" operator="between">
      <formula>0.3751</formula>
      <formula>0.5625</formula>
    </cfRule>
    <cfRule type="cellIs" dxfId="3955" priority="394" operator="greaterThan">
      <formula>0.751</formula>
    </cfRule>
    <cfRule type="cellIs" dxfId="3954" priority="395" operator="between">
      <formula>0.71251</formula>
      <formula>0.75</formula>
    </cfRule>
    <cfRule type="cellIs" dxfId="3953" priority="396" stopIfTrue="1" operator="between">
      <formula>0</formula>
      <formula>0.375</formula>
    </cfRule>
  </conditionalFormatting>
  <conditionalFormatting sqref="AA208:AB208">
    <cfRule type="cellIs" dxfId="3952" priority="387" operator="between">
      <formula>0.56251</formula>
      <formula>0.7125</formula>
    </cfRule>
    <cfRule type="cellIs" dxfId="3951" priority="388" operator="between">
      <formula>0.3751</formula>
      <formula>0.5625</formula>
    </cfRule>
    <cfRule type="cellIs" dxfId="3950" priority="389" operator="greaterThan">
      <formula>0.751</formula>
    </cfRule>
    <cfRule type="cellIs" dxfId="3949" priority="390" operator="between">
      <formula>0.71251</formula>
      <formula>0.75</formula>
    </cfRule>
    <cfRule type="cellIs" dxfId="3948" priority="391" stopIfTrue="1" operator="between">
      <formula>0</formula>
      <formula>0.375</formula>
    </cfRule>
  </conditionalFormatting>
  <conditionalFormatting sqref="AC208">
    <cfRule type="cellIs" dxfId="3947" priority="382" operator="between">
      <formula>0.56251</formula>
      <formula>0.7125</formula>
    </cfRule>
    <cfRule type="cellIs" dxfId="3946" priority="383" operator="between">
      <formula>0.3751</formula>
      <formula>0.5625</formula>
    </cfRule>
    <cfRule type="cellIs" dxfId="3945" priority="384" operator="greaterThan">
      <formula>0.751</formula>
    </cfRule>
    <cfRule type="cellIs" dxfId="3944" priority="385" operator="between">
      <formula>0.71251</formula>
      <formula>0.75</formula>
    </cfRule>
    <cfRule type="cellIs" dxfId="3943" priority="386" stopIfTrue="1" operator="between">
      <formula>0</formula>
      <formula>0.375</formula>
    </cfRule>
  </conditionalFormatting>
  <conditionalFormatting sqref="AA308:AB308">
    <cfRule type="cellIs" dxfId="3942" priority="377" operator="between">
      <formula>0.56251</formula>
      <formula>0.7125</formula>
    </cfRule>
    <cfRule type="cellIs" dxfId="3941" priority="378" operator="between">
      <formula>0.3751</formula>
      <formula>0.5625</formula>
    </cfRule>
    <cfRule type="cellIs" dxfId="3940" priority="379" operator="greaterThan">
      <formula>0.751</formula>
    </cfRule>
    <cfRule type="cellIs" dxfId="3939" priority="380" operator="between">
      <formula>0.71251</formula>
      <formula>0.75</formula>
    </cfRule>
    <cfRule type="cellIs" dxfId="3938" priority="381" stopIfTrue="1" operator="between">
      <formula>0</formula>
      <formula>0.375</formula>
    </cfRule>
  </conditionalFormatting>
  <conditionalFormatting sqref="AC308">
    <cfRule type="cellIs" dxfId="3937" priority="372" operator="between">
      <formula>0.56251</formula>
      <formula>0.7125</formula>
    </cfRule>
    <cfRule type="cellIs" dxfId="3936" priority="373" operator="between">
      <formula>0.3751</formula>
      <formula>0.5625</formula>
    </cfRule>
    <cfRule type="cellIs" dxfId="3935" priority="374" operator="greaterThan">
      <formula>0.751</formula>
    </cfRule>
    <cfRule type="cellIs" dxfId="3934" priority="375" operator="between">
      <formula>0.71251</formula>
      <formula>0.75</formula>
    </cfRule>
    <cfRule type="cellIs" dxfId="3933" priority="376" stopIfTrue="1" operator="between">
      <formula>0</formula>
      <formula>0.375</formula>
    </cfRule>
  </conditionalFormatting>
  <conditionalFormatting sqref="AA364:AB364">
    <cfRule type="cellIs" dxfId="3932" priority="367" operator="between">
      <formula>0.56251</formula>
      <formula>0.7125</formula>
    </cfRule>
    <cfRule type="cellIs" dxfId="3931" priority="368" operator="between">
      <formula>0.3751</formula>
      <formula>0.5625</formula>
    </cfRule>
    <cfRule type="cellIs" dxfId="3930" priority="369" operator="greaterThan">
      <formula>0.751</formula>
    </cfRule>
    <cfRule type="cellIs" dxfId="3929" priority="370" operator="between">
      <formula>0.71251</formula>
      <formula>0.75</formula>
    </cfRule>
    <cfRule type="cellIs" dxfId="3928" priority="371" stopIfTrue="1" operator="between">
      <formula>0</formula>
      <formula>0.375</formula>
    </cfRule>
  </conditionalFormatting>
  <conditionalFormatting sqref="AC364">
    <cfRule type="cellIs" dxfId="3927" priority="362" operator="between">
      <formula>0.56251</formula>
      <formula>0.7125</formula>
    </cfRule>
    <cfRule type="cellIs" dxfId="3926" priority="363" operator="between">
      <formula>0.3751</formula>
      <formula>0.5625</formula>
    </cfRule>
    <cfRule type="cellIs" dxfId="3925" priority="364" operator="greaterThan">
      <formula>0.751</formula>
    </cfRule>
    <cfRule type="cellIs" dxfId="3924" priority="365" operator="between">
      <formula>0.71251</formula>
      <formula>0.75</formula>
    </cfRule>
    <cfRule type="cellIs" dxfId="3923" priority="366" stopIfTrue="1" operator="between">
      <formula>0</formula>
      <formula>0.375</formula>
    </cfRule>
  </conditionalFormatting>
  <conditionalFormatting sqref="AA365:AB365">
    <cfRule type="cellIs" dxfId="3922" priority="357" operator="between">
      <formula>0.56251</formula>
      <formula>0.7125</formula>
    </cfRule>
    <cfRule type="cellIs" dxfId="3921" priority="358" operator="between">
      <formula>0.3751</formula>
      <formula>0.5625</formula>
    </cfRule>
    <cfRule type="cellIs" dxfId="3920" priority="359" operator="greaterThan">
      <formula>0.751</formula>
    </cfRule>
    <cfRule type="cellIs" dxfId="3919" priority="360" operator="between">
      <formula>0.71251</formula>
      <formula>0.75</formula>
    </cfRule>
    <cfRule type="cellIs" dxfId="3918" priority="361" stopIfTrue="1" operator="between">
      <formula>0</formula>
      <formula>0.375</formula>
    </cfRule>
  </conditionalFormatting>
  <conditionalFormatting sqref="AC365">
    <cfRule type="cellIs" dxfId="3917" priority="352" operator="between">
      <formula>0.56251</formula>
      <formula>0.7125</formula>
    </cfRule>
    <cfRule type="cellIs" dxfId="3916" priority="353" operator="between">
      <formula>0.3751</formula>
      <formula>0.5625</formula>
    </cfRule>
    <cfRule type="cellIs" dxfId="3915" priority="354" operator="greaterThan">
      <formula>0.751</formula>
    </cfRule>
    <cfRule type="cellIs" dxfId="3914" priority="355" operator="between">
      <formula>0.71251</formula>
      <formula>0.75</formula>
    </cfRule>
    <cfRule type="cellIs" dxfId="3913" priority="356" stopIfTrue="1" operator="between">
      <formula>0</formula>
      <formula>0.375</formula>
    </cfRule>
  </conditionalFormatting>
  <conditionalFormatting sqref="AA366:AB366">
    <cfRule type="cellIs" dxfId="3912" priority="347" operator="between">
      <formula>0.56251</formula>
      <formula>0.7125</formula>
    </cfRule>
    <cfRule type="cellIs" dxfId="3911" priority="348" operator="between">
      <formula>0.3751</formula>
      <formula>0.5625</formula>
    </cfRule>
    <cfRule type="cellIs" dxfId="3910" priority="349" operator="greaterThan">
      <formula>0.751</formula>
    </cfRule>
    <cfRule type="cellIs" dxfId="3909" priority="350" operator="between">
      <formula>0.71251</formula>
      <formula>0.75</formula>
    </cfRule>
    <cfRule type="cellIs" dxfId="3908" priority="351" stopIfTrue="1" operator="between">
      <formula>0</formula>
      <formula>0.375</formula>
    </cfRule>
  </conditionalFormatting>
  <conditionalFormatting sqref="AC366">
    <cfRule type="cellIs" dxfId="3907" priority="342" operator="between">
      <formula>0.56251</formula>
      <formula>0.7125</formula>
    </cfRule>
    <cfRule type="cellIs" dxfId="3906" priority="343" operator="between">
      <formula>0.3751</formula>
      <formula>0.5625</formula>
    </cfRule>
    <cfRule type="cellIs" dxfId="3905" priority="344" operator="greaterThan">
      <formula>0.751</formula>
    </cfRule>
    <cfRule type="cellIs" dxfId="3904" priority="345" operator="between">
      <formula>0.71251</formula>
      <formula>0.75</formula>
    </cfRule>
    <cfRule type="cellIs" dxfId="3903" priority="346" stopIfTrue="1" operator="between">
      <formula>0</formula>
      <formula>0.375</formula>
    </cfRule>
  </conditionalFormatting>
  <conditionalFormatting sqref="AA367:AB367">
    <cfRule type="cellIs" dxfId="3902" priority="337" operator="between">
      <formula>0.56251</formula>
      <formula>0.7125</formula>
    </cfRule>
    <cfRule type="cellIs" dxfId="3901" priority="338" operator="between">
      <formula>0.3751</formula>
      <formula>0.5625</formula>
    </cfRule>
    <cfRule type="cellIs" dxfId="3900" priority="339" operator="greaterThan">
      <formula>0.751</formula>
    </cfRule>
    <cfRule type="cellIs" dxfId="3899" priority="340" operator="between">
      <formula>0.71251</formula>
      <formula>0.75</formula>
    </cfRule>
    <cfRule type="cellIs" dxfId="3898" priority="341" stopIfTrue="1" operator="between">
      <formula>0</formula>
      <formula>0.375</formula>
    </cfRule>
  </conditionalFormatting>
  <conditionalFormatting sqref="AC367">
    <cfRule type="cellIs" dxfId="3897" priority="332" operator="between">
      <formula>0.56251</formula>
      <formula>0.7125</formula>
    </cfRule>
    <cfRule type="cellIs" dxfId="3896" priority="333" operator="between">
      <formula>0.3751</formula>
      <formula>0.5625</formula>
    </cfRule>
    <cfRule type="cellIs" dxfId="3895" priority="334" operator="greaterThan">
      <formula>0.751</formula>
    </cfRule>
    <cfRule type="cellIs" dxfId="3894" priority="335" operator="between">
      <formula>0.71251</formula>
      <formula>0.75</formula>
    </cfRule>
    <cfRule type="cellIs" dxfId="3893" priority="336" stopIfTrue="1" operator="between">
      <formula>0</formula>
      <formula>0.375</formula>
    </cfRule>
  </conditionalFormatting>
  <conditionalFormatting sqref="AA36">
    <cfRule type="cellIs" dxfId="3892" priority="327" operator="between">
      <formula>0.3751</formula>
      <formula>0.475</formula>
    </cfRule>
    <cfRule type="cellIs" dxfId="3891" priority="328" operator="between">
      <formula>0.2551</formula>
      <formula>0.375</formula>
    </cfRule>
    <cfRule type="cellIs" dxfId="3890" priority="329" operator="greaterThan">
      <formula>0.505</formula>
    </cfRule>
    <cfRule type="cellIs" dxfId="3889" priority="330" operator="between">
      <formula>0.48</formula>
      <formula>0.5</formula>
    </cfRule>
    <cfRule type="cellIs" dxfId="3888" priority="331" stopIfTrue="1" operator="between">
      <formula>0</formula>
      <formula>0.255</formula>
    </cfRule>
  </conditionalFormatting>
  <conditionalFormatting sqref="AB36">
    <cfRule type="cellIs" dxfId="3887" priority="322" operator="between">
      <formula>0.376</formula>
      <formula>0.475</formula>
    </cfRule>
    <cfRule type="cellIs" dxfId="3886" priority="323" operator="between">
      <formula>0.2551</formula>
      <formula>0.3751</formula>
    </cfRule>
    <cfRule type="cellIs" dxfId="3885" priority="324" operator="greaterThan">
      <formula>0.505</formula>
    </cfRule>
    <cfRule type="cellIs" dxfId="3884" priority="325" operator="between">
      <formula>0.48</formula>
      <formula>0.5</formula>
    </cfRule>
    <cfRule type="cellIs" dxfId="3883" priority="326" stopIfTrue="1" operator="between">
      <formula>0</formula>
      <formula>0.255</formula>
    </cfRule>
  </conditionalFormatting>
  <conditionalFormatting sqref="U60">
    <cfRule type="cellIs" dxfId="3882" priority="302" operator="between">
      <formula>0.376</formula>
      <formula>0.475</formula>
    </cfRule>
    <cfRule type="cellIs" dxfId="3881" priority="303" operator="between">
      <formula>0.2551</formula>
      <formula>0.3751</formula>
    </cfRule>
    <cfRule type="cellIs" dxfId="3880" priority="304" operator="greaterThan">
      <formula>0.505</formula>
    </cfRule>
    <cfRule type="cellIs" dxfId="3879" priority="305" operator="between">
      <formula>0.48</formula>
      <formula>0.5</formula>
    </cfRule>
    <cfRule type="cellIs" dxfId="3878" priority="306" stopIfTrue="1" operator="between">
      <formula>0</formula>
      <formula>0.255</formula>
    </cfRule>
  </conditionalFormatting>
  <conditionalFormatting sqref="V60">
    <cfRule type="cellIs" dxfId="3877" priority="297" operator="between">
      <formula>0.376</formula>
      <formula>0.475</formula>
    </cfRule>
    <cfRule type="cellIs" dxfId="3876" priority="298" operator="between">
      <formula>0.2551</formula>
      <formula>0.3751</formula>
    </cfRule>
    <cfRule type="cellIs" dxfId="3875" priority="299" operator="greaterThan">
      <formula>0.505</formula>
    </cfRule>
    <cfRule type="cellIs" dxfId="3874" priority="300" operator="between">
      <formula>0.48</formula>
      <formula>0.5</formula>
    </cfRule>
    <cfRule type="cellIs" dxfId="3873" priority="301" stopIfTrue="1" operator="between">
      <formula>0</formula>
      <formula>0.255</formula>
    </cfRule>
  </conditionalFormatting>
  <conditionalFormatting sqref="AB60">
    <cfRule type="cellIs" dxfId="3872" priority="292" operator="between">
      <formula>0.56251</formula>
      <formula>0.7125</formula>
    </cfRule>
    <cfRule type="cellIs" dxfId="3871" priority="293" operator="between">
      <formula>0.3751</formula>
      <formula>0.5625</formula>
    </cfRule>
    <cfRule type="cellIs" dxfId="3870" priority="294" operator="greaterThan">
      <formula>0.751</formula>
    </cfRule>
    <cfRule type="cellIs" dxfId="3869" priority="295" operator="between">
      <formula>0.71251</formula>
      <formula>0.75</formula>
    </cfRule>
    <cfRule type="cellIs" dxfId="3868" priority="296" stopIfTrue="1" operator="between">
      <formula>0</formula>
      <formula>0.375</formula>
    </cfRule>
  </conditionalFormatting>
  <conditionalFormatting sqref="AC60">
    <cfRule type="cellIs" dxfId="3867" priority="287" operator="between">
      <formula>0.56251</formula>
      <formula>0.7125</formula>
    </cfRule>
    <cfRule type="cellIs" dxfId="3866" priority="288" operator="between">
      <formula>0.3751</formula>
      <formula>0.5625</formula>
    </cfRule>
    <cfRule type="cellIs" dxfId="3865" priority="289" operator="greaterThan">
      <formula>0.751</formula>
    </cfRule>
    <cfRule type="cellIs" dxfId="3864" priority="290" operator="between">
      <formula>0.71251</formula>
      <formula>0.75</formula>
    </cfRule>
    <cfRule type="cellIs" dxfId="3863" priority="291" stopIfTrue="1" operator="between">
      <formula>0</formula>
      <formula>0.375</formula>
    </cfRule>
  </conditionalFormatting>
  <conditionalFormatting sqref="AG207">
    <cfRule type="cellIs" dxfId="3862" priority="282" operator="between">
      <formula>0.76</formula>
      <formula>0.95</formula>
    </cfRule>
    <cfRule type="cellIs" dxfId="3861" priority="283" operator="between">
      <formula>0.51</formula>
      <formula>0.75</formula>
    </cfRule>
    <cfRule type="cellIs" dxfId="3860" priority="284" operator="greaterThan">
      <formula>1</formula>
    </cfRule>
    <cfRule type="cellIs" dxfId="3859" priority="285" operator="between">
      <formula>0.95</formula>
      <formula>1</formula>
    </cfRule>
    <cfRule type="cellIs" dxfId="3858" priority="286" stopIfTrue="1" operator="between">
      <formula>0</formula>
      <formula>0.5</formula>
    </cfRule>
  </conditionalFormatting>
  <conditionalFormatting sqref="AF207">
    <cfRule type="cellIs" dxfId="3857" priority="277" operator="between">
      <formula>0.76</formula>
      <formula>0.95</formula>
    </cfRule>
    <cfRule type="cellIs" dxfId="3856" priority="278" operator="between">
      <formula>0.51</formula>
      <formula>0.75</formula>
    </cfRule>
    <cfRule type="cellIs" dxfId="3855" priority="279" operator="greaterThan">
      <formula>1</formula>
    </cfRule>
    <cfRule type="cellIs" dxfId="3854" priority="280" operator="between">
      <formula>0.95</formula>
      <formula>1</formula>
    </cfRule>
    <cfRule type="cellIs" dxfId="3853" priority="281" stopIfTrue="1" operator="between">
      <formula>0</formula>
      <formula>0.5</formula>
    </cfRule>
  </conditionalFormatting>
  <conditionalFormatting sqref="AG205">
    <cfRule type="cellIs" dxfId="3852" priority="272" operator="between">
      <formula>0.76</formula>
      <formula>0.95</formula>
    </cfRule>
    <cfRule type="cellIs" dxfId="3851" priority="273" operator="between">
      <formula>0.51</formula>
      <formula>0.75</formula>
    </cfRule>
    <cfRule type="cellIs" dxfId="3850" priority="274" operator="greaterThan">
      <formula>1</formula>
    </cfRule>
    <cfRule type="cellIs" dxfId="3849" priority="275" operator="between">
      <formula>0.95</formula>
      <formula>1</formula>
    </cfRule>
    <cfRule type="cellIs" dxfId="3848" priority="276" stopIfTrue="1" operator="between">
      <formula>0</formula>
      <formula>0.5</formula>
    </cfRule>
  </conditionalFormatting>
  <conditionalFormatting sqref="AF205">
    <cfRule type="cellIs" dxfId="3847" priority="267" operator="between">
      <formula>0.76</formula>
      <formula>0.95</formula>
    </cfRule>
    <cfRule type="cellIs" dxfId="3846" priority="268" operator="between">
      <formula>0.51</formula>
      <formula>0.75</formula>
    </cfRule>
    <cfRule type="cellIs" dxfId="3845" priority="269" operator="greaterThan">
      <formula>1</formula>
    </cfRule>
    <cfRule type="cellIs" dxfId="3844" priority="270" operator="between">
      <formula>0.95</formula>
      <formula>1</formula>
    </cfRule>
    <cfRule type="cellIs" dxfId="3843" priority="271" stopIfTrue="1" operator="between">
      <formula>0</formula>
      <formula>0.5</formula>
    </cfRule>
  </conditionalFormatting>
  <conditionalFormatting sqref="AI128">
    <cfRule type="cellIs" dxfId="3842" priority="262" operator="between">
      <formula>0.76</formula>
      <formula>0.95</formula>
    </cfRule>
    <cfRule type="cellIs" dxfId="3841" priority="263" operator="between">
      <formula>0.51</formula>
      <formula>0.75</formula>
    </cfRule>
    <cfRule type="cellIs" dxfId="3840" priority="264" operator="greaterThan">
      <formula>1</formula>
    </cfRule>
    <cfRule type="cellIs" dxfId="3839" priority="265" operator="between">
      <formula>0.95</formula>
      <formula>1</formula>
    </cfRule>
    <cfRule type="cellIs" dxfId="3838" priority="266" stopIfTrue="1" operator="between">
      <formula>0</formula>
      <formula>0.5</formula>
    </cfRule>
  </conditionalFormatting>
  <conditionalFormatting sqref="AG28 AI28 Z28">
    <cfRule type="cellIs" dxfId="3837" priority="257" operator="between">
      <formula>0.76</formula>
      <formula>0.95</formula>
    </cfRule>
    <cfRule type="cellIs" dxfId="3836" priority="258" operator="between">
      <formula>0.51</formula>
      <formula>0.75</formula>
    </cfRule>
    <cfRule type="cellIs" dxfId="3835" priority="259" operator="greaterThan">
      <formula>1</formula>
    </cfRule>
    <cfRule type="cellIs" dxfId="3834" priority="260" operator="between">
      <formula>0.95</formula>
      <formula>1</formula>
    </cfRule>
    <cfRule type="cellIs" dxfId="3833" priority="261" stopIfTrue="1" operator="between">
      <formula>0</formula>
      <formula>0.5</formula>
    </cfRule>
  </conditionalFormatting>
  <conditionalFormatting sqref="R28:S28">
    <cfRule type="cellIs" dxfId="3832" priority="252" operator="between">
      <formula>0.76</formula>
      <formula>0.95</formula>
    </cfRule>
    <cfRule type="cellIs" dxfId="3831" priority="253" operator="between">
      <formula>0.51</formula>
      <formula>0.75</formula>
    </cfRule>
    <cfRule type="cellIs" dxfId="3830" priority="254" operator="greaterThan">
      <formula>1</formula>
    </cfRule>
    <cfRule type="cellIs" dxfId="3829" priority="255" operator="between">
      <formula>0.95</formula>
      <formula>1</formula>
    </cfRule>
    <cfRule type="cellIs" dxfId="3828" priority="256" stopIfTrue="1" operator="between">
      <formula>0</formula>
      <formula>0.5</formula>
    </cfRule>
  </conditionalFormatting>
  <conditionalFormatting sqref="Y28">
    <cfRule type="cellIs" dxfId="3827" priority="247" operator="between">
      <formula>0.76</formula>
      <formula>0.95</formula>
    </cfRule>
    <cfRule type="cellIs" dxfId="3826" priority="248" operator="between">
      <formula>0.51</formula>
      <formula>0.75</formula>
    </cfRule>
    <cfRule type="cellIs" dxfId="3825" priority="249" operator="greaterThan">
      <formula>1</formula>
    </cfRule>
    <cfRule type="cellIs" dxfId="3824" priority="250" operator="between">
      <formula>0.95</formula>
      <formula>1</formula>
    </cfRule>
    <cfRule type="cellIs" dxfId="3823" priority="251" stopIfTrue="1" operator="between">
      <formula>0</formula>
      <formula>0.5</formula>
    </cfRule>
  </conditionalFormatting>
  <conditionalFormatting sqref="AF28">
    <cfRule type="cellIs" dxfId="3822" priority="242" operator="between">
      <formula>0.76</formula>
      <formula>0.95</formula>
    </cfRule>
    <cfRule type="cellIs" dxfId="3821" priority="243" operator="between">
      <formula>0.51</formula>
      <formula>0.75</formula>
    </cfRule>
    <cfRule type="cellIs" dxfId="3820" priority="244" operator="greaterThan">
      <formula>1</formula>
    </cfRule>
    <cfRule type="cellIs" dxfId="3819" priority="245" operator="between">
      <formula>0.95</formula>
      <formula>1</formula>
    </cfRule>
    <cfRule type="cellIs" dxfId="3818" priority="246" stopIfTrue="1" operator="between">
      <formula>0</formula>
      <formula>0.5</formula>
    </cfRule>
  </conditionalFormatting>
  <conditionalFormatting sqref="T28">
    <cfRule type="cellIs" dxfId="3817" priority="237" operator="between">
      <formula>0.3751</formula>
      <formula>0.475</formula>
    </cfRule>
    <cfRule type="cellIs" dxfId="3816" priority="238" operator="between">
      <formula>0.2551</formula>
      <formula>0.375</formula>
    </cfRule>
    <cfRule type="cellIs" dxfId="3815" priority="239" operator="greaterThan">
      <formula>0.505</formula>
    </cfRule>
    <cfRule type="cellIs" dxfId="3814" priority="240" operator="between">
      <formula>0.48</formula>
      <formula>0.5</formula>
    </cfRule>
    <cfRule type="cellIs" dxfId="3813" priority="241" stopIfTrue="1" operator="between">
      <formula>0</formula>
      <formula>0.255</formula>
    </cfRule>
  </conditionalFormatting>
  <conditionalFormatting sqref="AA28:AC28">
    <cfRule type="cellIs" dxfId="3812" priority="232" operator="between">
      <formula>0.56251</formula>
      <formula>0.7125</formula>
    </cfRule>
    <cfRule type="cellIs" dxfId="3811" priority="233" operator="between">
      <formula>0.3751</formula>
      <formula>0.5625</formula>
    </cfRule>
    <cfRule type="cellIs" dxfId="3810" priority="234" operator="greaterThan">
      <formula>0.751</formula>
    </cfRule>
    <cfRule type="cellIs" dxfId="3809" priority="235" operator="between">
      <formula>0.71251</formula>
      <formula>0.75</formula>
    </cfRule>
    <cfRule type="cellIs" dxfId="3808" priority="236" stopIfTrue="1" operator="between">
      <formula>0</formula>
      <formula>0.375</formula>
    </cfRule>
  </conditionalFormatting>
  <conditionalFormatting sqref="AH28">
    <cfRule type="cellIs" dxfId="3807" priority="227" operator="between">
      <formula>0.76</formula>
      <formula>0.95</formula>
    </cfRule>
    <cfRule type="cellIs" dxfId="3806" priority="228" operator="between">
      <formula>0.51</formula>
      <formula>0.75</formula>
    </cfRule>
    <cfRule type="cellIs" dxfId="3805" priority="229" operator="greaterThan">
      <formula>1</formula>
    </cfRule>
    <cfRule type="cellIs" dxfId="3804" priority="230" operator="between">
      <formula>0.95</formula>
      <formula>1</formula>
    </cfRule>
    <cfRule type="cellIs" dxfId="3803" priority="231" stopIfTrue="1" operator="between">
      <formula>0</formula>
      <formula>0.5</formula>
    </cfRule>
  </conditionalFormatting>
  <conditionalFormatting sqref="U28:V28">
    <cfRule type="cellIs" dxfId="3802" priority="222" operator="between">
      <formula>0.376</formula>
      <formula>0.475</formula>
    </cfRule>
    <cfRule type="cellIs" dxfId="3801" priority="223" operator="between">
      <formula>0.2551</formula>
      <formula>0.3751</formula>
    </cfRule>
    <cfRule type="cellIs" dxfId="3800" priority="224" operator="greaterThan">
      <formula>0.505</formula>
    </cfRule>
    <cfRule type="cellIs" dxfId="3799" priority="225" operator="between">
      <formula>0.48</formula>
      <formula>0.5</formula>
    </cfRule>
    <cfRule type="cellIs" dxfId="3798" priority="226" stopIfTrue="1" operator="between">
      <formula>0</formula>
      <formula>0.255</formula>
    </cfRule>
  </conditionalFormatting>
  <conditionalFormatting sqref="N28">
    <cfRule type="cellIs" dxfId="3797" priority="205" operator="between">
      <formula>0.1876</formula>
      <formula>0.2375</formula>
    </cfRule>
    <cfRule type="cellIs" dxfId="3796" priority="206" operator="between">
      <formula>0.1251</formula>
      <formula>0.1875</formula>
    </cfRule>
    <cfRule type="cellIs" dxfId="3795" priority="207" operator="greaterThan">
      <formula>0.25</formula>
    </cfRule>
    <cfRule type="cellIs" dxfId="3794" priority="208" operator="between">
      <formula>0.2376</formula>
      <formula>0.25</formula>
    </cfRule>
    <cfRule type="cellIs" dxfId="3793" priority="209" stopIfTrue="1" operator="between">
      <formula>0</formula>
      <formula>0.125</formula>
    </cfRule>
  </conditionalFormatting>
  <conditionalFormatting sqref="O28">
    <cfRule type="cellIs" dxfId="3792" priority="200" operator="between">
      <formula>0.1876</formula>
      <formula>0.2375</formula>
    </cfRule>
    <cfRule type="cellIs" dxfId="3791" priority="201" operator="between">
      <formula>0.1251</formula>
      <formula>0.1875</formula>
    </cfRule>
    <cfRule type="cellIs" dxfId="3790" priority="202" operator="greaterThan">
      <formula>0.25</formula>
    </cfRule>
    <cfRule type="cellIs" dxfId="3789" priority="203" operator="between">
      <formula>0.2376</formula>
      <formula>0.25</formula>
    </cfRule>
    <cfRule type="cellIs" dxfId="3788" priority="204" stopIfTrue="1" operator="between">
      <formula>0</formula>
      <formula>0.125</formula>
    </cfRule>
  </conditionalFormatting>
  <conditionalFormatting sqref="M28">
    <cfRule type="cellIs" dxfId="3787" priority="195" operator="between">
      <formula>0.1876</formula>
      <formula>0.2375</formula>
    </cfRule>
    <cfRule type="cellIs" dxfId="3786" priority="196" operator="between">
      <formula>0.1251</formula>
      <formula>0.1875</formula>
    </cfRule>
    <cfRule type="cellIs" dxfId="3785" priority="197" operator="greaterThan">
      <formula>0.25</formula>
    </cfRule>
    <cfRule type="cellIs" dxfId="3784" priority="198" operator="between">
      <formula>0.2375</formula>
      <formula>0.25</formula>
    </cfRule>
    <cfRule type="cellIs" dxfId="3783" priority="199" stopIfTrue="1" operator="between">
      <formula>0</formula>
      <formula>0.125</formula>
    </cfRule>
  </conditionalFormatting>
  <conditionalFormatting sqref="K28">
    <cfRule type="cellIs" dxfId="3782" priority="190" operator="between">
      <formula>0.76</formula>
      <formula>0.95</formula>
    </cfRule>
    <cfRule type="cellIs" dxfId="3781" priority="191" operator="between">
      <formula>0.51</formula>
      <formula>0.75</formula>
    </cfRule>
    <cfRule type="cellIs" dxfId="3780" priority="192" operator="greaterThan">
      <formula>1</formula>
    </cfRule>
    <cfRule type="cellIs" dxfId="3779" priority="193" operator="between">
      <formula>0.96</formula>
      <formula>1</formula>
    </cfRule>
    <cfRule type="cellIs" dxfId="3778" priority="194" stopIfTrue="1" operator="between">
      <formula>0</formula>
      <formula>0.5</formula>
    </cfRule>
  </conditionalFormatting>
  <conditionalFormatting sqref="L28">
    <cfRule type="cellIs" dxfId="3777" priority="185" operator="between">
      <formula>0.76</formula>
      <formula>0.95</formula>
    </cfRule>
    <cfRule type="cellIs" dxfId="3776" priority="186" operator="between">
      <formula>0.51</formula>
      <formula>0.75</formula>
    </cfRule>
    <cfRule type="cellIs" dxfId="3775" priority="187" operator="greaterThan">
      <formula>1</formula>
    </cfRule>
    <cfRule type="cellIs" dxfId="3774" priority="188" operator="between">
      <formula>0.96</formula>
      <formula>1</formula>
    </cfRule>
    <cfRule type="cellIs" dxfId="3773" priority="189" stopIfTrue="1" operator="between">
      <formula>0</formula>
      <formula>0.5</formula>
    </cfRule>
  </conditionalFormatting>
  <conditionalFormatting sqref="U287">
    <cfRule type="cellIs" dxfId="3772" priority="180" operator="between">
      <formula>0.376</formula>
      <formula>0.475</formula>
    </cfRule>
    <cfRule type="cellIs" dxfId="3771" priority="181" operator="between">
      <formula>0.2551</formula>
      <formula>0.3751</formula>
    </cfRule>
    <cfRule type="cellIs" dxfId="3770" priority="182" operator="greaterThan">
      <formula>0.505</formula>
    </cfRule>
    <cfRule type="cellIs" dxfId="3769" priority="183" operator="between">
      <formula>0.48</formula>
      <formula>0.5</formula>
    </cfRule>
    <cfRule type="cellIs" dxfId="3768" priority="184" stopIfTrue="1" operator="between">
      <formula>0</formula>
      <formula>0.255</formula>
    </cfRule>
  </conditionalFormatting>
  <conditionalFormatting sqref="V287">
    <cfRule type="cellIs" dxfId="3767" priority="175" operator="between">
      <formula>0.376</formula>
      <formula>0.475</formula>
    </cfRule>
    <cfRule type="cellIs" dxfId="3766" priority="176" operator="between">
      <formula>0.2551</formula>
      <formula>0.3751</formula>
    </cfRule>
    <cfRule type="cellIs" dxfId="3765" priority="177" operator="greaterThan">
      <formula>0.505</formula>
    </cfRule>
    <cfRule type="cellIs" dxfId="3764" priority="178" operator="between">
      <formula>0.48</formula>
      <formula>0.5</formula>
    </cfRule>
    <cfRule type="cellIs" dxfId="3763" priority="179" stopIfTrue="1" operator="between">
      <formula>0</formula>
      <formula>0.255</formula>
    </cfRule>
  </conditionalFormatting>
  <conditionalFormatting sqref="R287">
    <cfRule type="cellIs" dxfId="3762" priority="170" operator="between">
      <formula>0.76</formula>
      <formula>0.95</formula>
    </cfRule>
    <cfRule type="cellIs" dxfId="3761" priority="171" operator="between">
      <formula>0.51</formula>
      <formula>0.75</formula>
    </cfRule>
    <cfRule type="cellIs" dxfId="3760" priority="172" operator="greaterThan">
      <formula>1</formula>
    </cfRule>
    <cfRule type="cellIs" dxfId="3759" priority="173" operator="between">
      <formula>0.95</formula>
      <formula>1</formula>
    </cfRule>
    <cfRule type="cellIs" dxfId="3758" priority="174" stopIfTrue="1" operator="between">
      <formula>0</formula>
      <formula>0.5</formula>
    </cfRule>
  </conditionalFormatting>
  <conditionalFormatting sqref="S287">
    <cfRule type="cellIs" dxfId="3757" priority="165" operator="between">
      <formula>0.76</formula>
      <formula>0.95</formula>
    </cfRule>
    <cfRule type="cellIs" dxfId="3756" priority="166" operator="between">
      <formula>0.51</formula>
      <formula>0.75</formula>
    </cfRule>
    <cfRule type="cellIs" dxfId="3755" priority="167" operator="greaterThan">
      <formula>1</formula>
    </cfRule>
    <cfRule type="cellIs" dxfId="3754" priority="168" operator="between">
      <formula>0.95</formula>
      <formula>1</formula>
    </cfRule>
    <cfRule type="cellIs" dxfId="3753" priority="169" stopIfTrue="1" operator="between">
      <formula>0</formula>
      <formula>0.5</formula>
    </cfRule>
  </conditionalFormatting>
  <conditionalFormatting sqref="T287">
    <cfRule type="cellIs" dxfId="3752" priority="160" operator="between">
      <formula>0.3751</formula>
      <formula>0.475</formula>
    </cfRule>
    <cfRule type="cellIs" dxfId="3751" priority="161" operator="between">
      <formula>0.2551</formula>
      <formula>0.375</formula>
    </cfRule>
    <cfRule type="cellIs" dxfId="3750" priority="162" operator="greaterThan">
      <formula>0.505</formula>
    </cfRule>
    <cfRule type="cellIs" dxfId="3749" priority="163" operator="between">
      <formula>0.48</formula>
      <formula>0.5</formula>
    </cfRule>
    <cfRule type="cellIs" dxfId="3748" priority="164" stopIfTrue="1" operator="between">
      <formula>0</formula>
      <formula>0.255</formula>
    </cfRule>
  </conditionalFormatting>
  <conditionalFormatting sqref="AA287:AB287">
    <cfRule type="cellIs" dxfId="3747" priority="155" operator="between">
      <formula>0.56251</formula>
      <formula>0.7125</formula>
    </cfRule>
    <cfRule type="cellIs" dxfId="3746" priority="156" operator="between">
      <formula>0.3751</formula>
      <formula>0.5625</formula>
    </cfRule>
    <cfRule type="cellIs" dxfId="3745" priority="157" operator="greaterThan">
      <formula>0.751</formula>
    </cfRule>
    <cfRule type="cellIs" dxfId="3744" priority="158" operator="between">
      <formula>0.71251</formula>
      <formula>0.75</formula>
    </cfRule>
    <cfRule type="cellIs" dxfId="3743" priority="159" stopIfTrue="1" operator="between">
      <formula>0</formula>
      <formula>0.375</formula>
    </cfRule>
  </conditionalFormatting>
  <conditionalFormatting sqref="AC287">
    <cfRule type="cellIs" dxfId="3742" priority="150" operator="between">
      <formula>0.56251</formula>
      <formula>0.7125</formula>
    </cfRule>
    <cfRule type="cellIs" dxfId="3741" priority="151" operator="between">
      <formula>0.3751</formula>
      <formula>0.5625</formula>
    </cfRule>
    <cfRule type="cellIs" dxfId="3740" priority="152" operator="greaterThan">
      <formula>0.751</formula>
    </cfRule>
    <cfRule type="cellIs" dxfId="3739" priority="153" operator="between">
      <formula>0.71251</formula>
      <formula>0.75</formula>
    </cfRule>
    <cfRule type="cellIs" dxfId="3738" priority="154" stopIfTrue="1" operator="between">
      <formula>0</formula>
      <formula>0.375</formula>
    </cfRule>
  </conditionalFormatting>
  <conditionalFormatting sqref="AH287:AI287">
    <cfRule type="cellIs" dxfId="3737" priority="145" operator="between">
      <formula>0.76</formula>
      <formula>0.95</formula>
    </cfRule>
    <cfRule type="cellIs" dxfId="3736" priority="146" operator="between">
      <formula>0.51</formula>
      <formula>0.75</formula>
    </cfRule>
    <cfRule type="cellIs" dxfId="3735" priority="147" operator="greaterThan">
      <formula>1</formula>
    </cfRule>
    <cfRule type="cellIs" dxfId="3734" priority="148" operator="between">
      <formula>0.95</formula>
      <formula>1</formula>
    </cfRule>
    <cfRule type="cellIs" dxfId="3733" priority="149" stopIfTrue="1" operator="between">
      <formula>0</formula>
      <formula>0.5</formula>
    </cfRule>
  </conditionalFormatting>
  <conditionalFormatting sqref="Z128">
    <cfRule type="cellIs" dxfId="3732" priority="140" operator="between">
      <formula>0.76</formula>
      <formula>0.95</formula>
    </cfRule>
    <cfRule type="cellIs" dxfId="3731" priority="141" operator="between">
      <formula>0.51</formula>
      <formula>0.75</formula>
    </cfRule>
    <cfRule type="cellIs" dxfId="3730" priority="142" operator="greaterThan">
      <formula>1</formula>
    </cfRule>
    <cfRule type="cellIs" dxfId="3729" priority="143" operator="between">
      <formula>0.95</formula>
      <formula>1</formula>
    </cfRule>
    <cfRule type="cellIs" dxfId="3728" priority="144" stopIfTrue="1" operator="between">
      <formula>0</formula>
      <formula>0.5</formula>
    </cfRule>
  </conditionalFormatting>
  <conditionalFormatting sqref="AC128">
    <cfRule type="cellIs" dxfId="3727" priority="135" operator="between">
      <formula>0.56251</formula>
      <formula>0.7125</formula>
    </cfRule>
    <cfRule type="cellIs" dxfId="3726" priority="136" operator="between">
      <formula>0.3751</formula>
      <formula>0.5625</formula>
    </cfRule>
    <cfRule type="cellIs" dxfId="3725" priority="137" operator="greaterThan">
      <formula>0.751</formula>
    </cfRule>
    <cfRule type="cellIs" dxfId="3724" priority="138" operator="between">
      <formula>0.71251</formula>
      <formula>0.75</formula>
    </cfRule>
    <cfRule type="cellIs" dxfId="3723" priority="139" stopIfTrue="1" operator="between">
      <formula>0</formula>
      <formula>0.375</formula>
    </cfRule>
  </conditionalFormatting>
  <conditionalFormatting sqref="AH118:AI118">
    <cfRule type="cellIs" dxfId="3722" priority="130" operator="between">
      <formula>0.76</formula>
      <formula>0.95</formula>
    </cfRule>
    <cfRule type="cellIs" dxfId="3721" priority="131" operator="between">
      <formula>0.51</formula>
      <formula>0.75</formula>
    </cfRule>
    <cfRule type="cellIs" dxfId="3720" priority="132" operator="greaterThan">
      <formula>1</formula>
    </cfRule>
    <cfRule type="cellIs" dxfId="3719" priority="133" operator="between">
      <formula>0.95</formula>
      <formula>1</formula>
    </cfRule>
    <cfRule type="cellIs" dxfId="3718" priority="134" stopIfTrue="1" operator="between">
      <formula>0</formula>
      <formula>0.5</formula>
    </cfRule>
  </conditionalFormatting>
  <conditionalFormatting sqref="AG118">
    <cfRule type="cellIs" dxfId="3717" priority="125" operator="between">
      <formula>0.76</formula>
      <formula>0.95</formula>
    </cfRule>
    <cfRule type="cellIs" dxfId="3716" priority="126" operator="between">
      <formula>0.51</formula>
      <formula>0.75</formula>
    </cfRule>
    <cfRule type="cellIs" dxfId="3715" priority="127" operator="greaterThan">
      <formula>1</formula>
    </cfRule>
    <cfRule type="cellIs" dxfId="3714" priority="128" operator="between">
      <formula>0.95</formula>
      <formula>1</formula>
    </cfRule>
    <cfRule type="cellIs" dxfId="3713" priority="129" stopIfTrue="1" operator="between">
      <formula>0</formula>
      <formula>0.5</formula>
    </cfRule>
  </conditionalFormatting>
  <conditionalFormatting sqref="Z118">
    <cfRule type="cellIs" dxfId="3712" priority="99" operator="between">
      <formula>0.76</formula>
      <formula>0.95</formula>
    </cfRule>
    <cfRule type="cellIs" dxfId="3711" priority="100" operator="between">
      <formula>0.51</formula>
      <formula>0.75</formula>
    </cfRule>
    <cfRule type="cellIs" dxfId="3710" priority="101" operator="greaterThan">
      <formula>1</formula>
    </cfRule>
    <cfRule type="cellIs" dxfId="3709" priority="102" operator="between">
      <formula>0.95</formula>
      <formula>1</formula>
    </cfRule>
    <cfRule type="cellIs" dxfId="3708" priority="103" stopIfTrue="1" operator="between">
      <formula>0</formula>
      <formula>0.5</formula>
    </cfRule>
  </conditionalFormatting>
  <conditionalFormatting sqref="Y118">
    <cfRule type="cellIs" dxfId="3707" priority="120" operator="between">
      <formula>0.76</formula>
      <formula>0.95</formula>
    </cfRule>
    <cfRule type="cellIs" dxfId="3706" priority="121" operator="between">
      <formula>0.51</formula>
      <formula>0.75</formula>
    </cfRule>
    <cfRule type="cellIs" dxfId="3705" priority="122" operator="greaterThan">
      <formula>1</formula>
    </cfRule>
    <cfRule type="cellIs" dxfId="3704" priority="123" operator="between">
      <formula>0.95</formula>
      <formula>1</formula>
    </cfRule>
    <cfRule type="cellIs" dxfId="3703" priority="124" stopIfTrue="1" operator="between">
      <formula>0</formula>
      <formula>0.5</formula>
    </cfRule>
  </conditionalFormatting>
  <conditionalFormatting sqref="AA118:AB118">
    <cfRule type="cellIs" dxfId="3702" priority="115" operator="between">
      <formula>0.56251</formula>
      <formula>0.7125</formula>
    </cfRule>
    <cfRule type="cellIs" dxfId="3701" priority="116" operator="between">
      <formula>0.3751</formula>
      <formula>0.5625</formula>
    </cfRule>
    <cfRule type="cellIs" dxfId="3700" priority="117" operator="greaterThan">
      <formula>0.751</formula>
    </cfRule>
    <cfRule type="cellIs" dxfId="3699" priority="118" operator="between">
      <formula>0.71251</formula>
      <formula>0.75</formula>
    </cfRule>
    <cfRule type="cellIs" dxfId="3698" priority="119" stopIfTrue="1" operator="between">
      <formula>0</formula>
      <formula>0.375</formula>
    </cfRule>
  </conditionalFormatting>
  <conditionalFormatting sqref="AC118">
    <cfRule type="cellIs" dxfId="3697" priority="104" operator="between">
      <formula>0.56251</formula>
      <formula>0.7125</formula>
    </cfRule>
    <cfRule type="cellIs" dxfId="3696" priority="105" operator="between">
      <formula>0.3751</formula>
      <formula>0.5625</formula>
    </cfRule>
    <cfRule type="cellIs" dxfId="3695" priority="106" operator="greaterThan">
      <formula>0.751</formula>
    </cfRule>
    <cfRule type="cellIs" dxfId="3694" priority="107" operator="between">
      <formula>0.71251</formula>
      <formula>0.75</formula>
    </cfRule>
    <cfRule type="cellIs" dxfId="3693" priority="108" stopIfTrue="1" operator="between">
      <formula>0</formula>
      <formula>0.375</formula>
    </cfRule>
  </conditionalFormatting>
  <conditionalFormatting sqref="AH144">
    <cfRule type="cellIs" dxfId="3692" priority="94" operator="between">
      <formula>0.76</formula>
      <formula>0.95</formula>
    </cfRule>
    <cfRule type="cellIs" dxfId="3691" priority="95" operator="between">
      <formula>0.51</formula>
      <formula>0.75</formula>
    </cfRule>
    <cfRule type="cellIs" dxfId="3690" priority="96" operator="greaterThan">
      <formula>1</formula>
    </cfRule>
    <cfRule type="cellIs" dxfId="3689" priority="97" operator="between">
      <formula>0.95</formula>
      <formula>1</formula>
    </cfRule>
    <cfRule type="cellIs" dxfId="3688" priority="98" stopIfTrue="1" operator="between">
      <formula>0</formula>
      <formula>0.5</formula>
    </cfRule>
  </conditionalFormatting>
  <conditionalFormatting sqref="AA144">
    <cfRule type="cellIs" dxfId="3687" priority="89" operator="between">
      <formula>0.56251</formula>
      <formula>0.7125</formula>
    </cfRule>
    <cfRule type="cellIs" dxfId="3686" priority="90" operator="between">
      <formula>0.3751</formula>
      <formula>0.5625</formula>
    </cfRule>
    <cfRule type="cellIs" dxfId="3685" priority="91" operator="greaterThan">
      <formula>0.751</formula>
    </cfRule>
    <cfRule type="cellIs" dxfId="3684" priority="92" operator="between">
      <formula>0.71251</formula>
      <formula>0.75</formula>
    </cfRule>
    <cfRule type="cellIs" dxfId="3683" priority="93" stopIfTrue="1" operator="between">
      <formula>0</formula>
      <formula>0.375</formula>
    </cfRule>
  </conditionalFormatting>
  <conditionalFormatting sqref="AC144">
    <cfRule type="cellIs" dxfId="3682" priority="84" operator="between">
      <formula>0.56251</formula>
      <formula>0.7125</formula>
    </cfRule>
    <cfRule type="cellIs" dxfId="3681" priority="85" operator="between">
      <formula>0.3751</formula>
      <formula>0.5625</formula>
    </cfRule>
    <cfRule type="cellIs" dxfId="3680" priority="86" operator="greaterThan">
      <formula>0.751</formula>
    </cfRule>
    <cfRule type="cellIs" dxfId="3679" priority="87" operator="between">
      <formula>0.71251</formula>
      <formula>0.75</formula>
    </cfRule>
    <cfRule type="cellIs" dxfId="3678" priority="88" stopIfTrue="1" operator="between">
      <formula>0</formula>
      <formula>0.375</formula>
    </cfRule>
  </conditionalFormatting>
  <conditionalFormatting sqref="AB144">
    <cfRule type="cellIs" dxfId="3677" priority="79" operator="between">
      <formula>0.56251</formula>
      <formula>0.7125</formula>
    </cfRule>
    <cfRule type="cellIs" dxfId="3676" priority="80" operator="between">
      <formula>0.3751</formula>
      <formula>0.5625</formula>
    </cfRule>
    <cfRule type="cellIs" dxfId="3675" priority="81" operator="greaterThan">
      <formula>0.751</formula>
    </cfRule>
    <cfRule type="cellIs" dxfId="3674" priority="82" operator="between">
      <formula>0.71251</formula>
      <formula>0.75</formula>
    </cfRule>
    <cfRule type="cellIs" dxfId="3673" priority="83" stopIfTrue="1" operator="between">
      <formula>0</formula>
      <formula>0.375</formula>
    </cfRule>
  </conditionalFormatting>
  <conditionalFormatting sqref="AG184">
    <cfRule type="cellIs" dxfId="3672" priority="74" operator="between">
      <formula>0.76</formula>
      <formula>0.95</formula>
    </cfRule>
    <cfRule type="cellIs" dxfId="3671" priority="75" operator="between">
      <formula>0.51</formula>
      <formula>0.75</formula>
    </cfRule>
    <cfRule type="cellIs" dxfId="3670" priority="76" operator="greaterThan">
      <formula>1</formula>
    </cfRule>
    <cfRule type="cellIs" dxfId="3669" priority="77" operator="between">
      <formula>0.95</formula>
      <formula>1</formula>
    </cfRule>
    <cfRule type="cellIs" dxfId="3668" priority="78" stopIfTrue="1" operator="between">
      <formula>0</formula>
      <formula>0.5</formula>
    </cfRule>
  </conditionalFormatting>
  <conditionalFormatting sqref="AF191">
    <cfRule type="cellIs" dxfId="3667" priority="69" operator="between">
      <formula>0.76</formula>
      <formula>0.95</formula>
    </cfRule>
    <cfRule type="cellIs" dxfId="3666" priority="70" operator="between">
      <formula>0.51</formula>
      <formula>0.75</formula>
    </cfRule>
    <cfRule type="cellIs" dxfId="3665" priority="71" operator="greaterThan">
      <formula>1</formula>
    </cfRule>
    <cfRule type="cellIs" dxfId="3664" priority="72" operator="between">
      <formula>0.95</formula>
      <formula>1</formula>
    </cfRule>
    <cfRule type="cellIs" dxfId="3663" priority="73" stopIfTrue="1" operator="between">
      <formula>0</formula>
      <formula>0.5</formula>
    </cfRule>
  </conditionalFormatting>
  <conditionalFormatting sqref="AG191">
    <cfRule type="cellIs" dxfId="3662" priority="61" operator="between">
      <formula>0.76</formula>
      <formula>0.95</formula>
    </cfRule>
    <cfRule type="cellIs" dxfId="3661" priority="62" operator="between">
      <formula>0.51</formula>
      <formula>0.75</formula>
    </cfRule>
    <cfRule type="cellIs" dxfId="3660" priority="63" operator="greaterThan">
      <formula>1</formula>
    </cfRule>
    <cfRule type="cellIs" dxfId="3659" priority="64" operator="between">
      <formula>0.95</formula>
      <formula>1</formula>
    </cfRule>
    <cfRule type="cellIs" dxfId="3658" priority="65" stopIfTrue="1" operator="between">
      <formula>0</formula>
      <formula>0.5</formula>
    </cfRule>
  </conditionalFormatting>
  <conditionalFormatting sqref="AH191:AI191">
    <cfRule type="cellIs" dxfId="3657" priority="56" operator="between">
      <formula>0.76</formula>
      <formula>0.95</formula>
    </cfRule>
    <cfRule type="cellIs" dxfId="3656" priority="57" operator="between">
      <formula>0.51</formula>
      <formula>0.75</formula>
    </cfRule>
    <cfRule type="cellIs" dxfId="3655" priority="58" operator="greaterThan">
      <formula>1</formula>
    </cfRule>
    <cfRule type="cellIs" dxfId="3654" priority="59" operator="between">
      <formula>0.95</formula>
      <formula>1</formula>
    </cfRule>
    <cfRule type="cellIs" dxfId="3653" priority="60" stopIfTrue="1" operator="between">
      <formula>0</formula>
      <formula>0.5</formula>
    </cfRule>
  </conditionalFormatting>
  <conditionalFormatting sqref="AH224:AI224">
    <cfRule type="cellIs" dxfId="3652" priority="51" operator="between">
      <formula>0.76</formula>
      <formula>0.95</formula>
    </cfRule>
    <cfRule type="cellIs" dxfId="3651" priority="52" operator="between">
      <formula>0.51</formula>
      <formula>0.75</formula>
    </cfRule>
    <cfRule type="cellIs" dxfId="3650" priority="53" operator="greaterThan">
      <formula>1</formula>
    </cfRule>
    <cfRule type="cellIs" dxfId="3649" priority="54" operator="between">
      <formula>0.95</formula>
      <formula>1</formula>
    </cfRule>
    <cfRule type="cellIs" dxfId="3648" priority="55" stopIfTrue="1" operator="between">
      <formula>0</formula>
      <formula>0.5</formula>
    </cfRule>
  </conditionalFormatting>
  <conditionalFormatting sqref="V326">
    <cfRule type="cellIs" dxfId="3647" priority="46" operator="between">
      <formula>0.376</formula>
      <formula>0.475</formula>
    </cfRule>
    <cfRule type="cellIs" dxfId="3646" priority="47" operator="between">
      <formula>0.2551</formula>
      <formula>0.3751</formula>
    </cfRule>
    <cfRule type="cellIs" dxfId="3645" priority="48" operator="greaterThan">
      <formula>0.505</formula>
    </cfRule>
    <cfRule type="cellIs" dxfId="3644" priority="49" operator="between">
      <formula>0.48</formula>
      <formula>0.5</formula>
    </cfRule>
    <cfRule type="cellIs" dxfId="3643" priority="50" stopIfTrue="1" operator="between">
      <formula>0</formula>
      <formula>0.255</formula>
    </cfRule>
  </conditionalFormatting>
  <conditionalFormatting sqref="Z326">
    <cfRule type="cellIs" dxfId="3642" priority="41" operator="between">
      <formula>0.76</formula>
      <formula>0.95</formula>
    </cfRule>
    <cfRule type="cellIs" dxfId="3641" priority="42" operator="between">
      <formula>0.51</formula>
      <formula>0.75</formula>
    </cfRule>
    <cfRule type="cellIs" dxfId="3640" priority="43" operator="greaterThan">
      <formula>1</formula>
    </cfRule>
    <cfRule type="cellIs" dxfId="3639" priority="44" operator="between">
      <formula>0.95</formula>
      <formula>1</formula>
    </cfRule>
    <cfRule type="cellIs" dxfId="3638" priority="45" stopIfTrue="1" operator="between">
      <formula>0</formula>
      <formula>0.5</formula>
    </cfRule>
  </conditionalFormatting>
  <conditionalFormatting sqref="AA326:AC326">
    <cfRule type="cellIs" dxfId="3637" priority="36" operator="between">
      <formula>0.56251</formula>
      <formula>0.7125</formula>
    </cfRule>
    <cfRule type="cellIs" dxfId="3636" priority="37" operator="between">
      <formula>0.3751</formula>
      <formula>0.5625</formula>
    </cfRule>
    <cfRule type="cellIs" dxfId="3635" priority="38" operator="greaterThan">
      <formula>0.751</formula>
    </cfRule>
    <cfRule type="cellIs" dxfId="3634" priority="39" operator="between">
      <formula>0.71251</formula>
      <formula>0.75</formula>
    </cfRule>
    <cfRule type="cellIs" dxfId="3633" priority="40" stopIfTrue="1" operator="between">
      <formula>0</formula>
      <formula>0.375</formula>
    </cfRule>
  </conditionalFormatting>
  <conditionalFormatting sqref="AG350">
    <cfRule type="cellIs" dxfId="3632" priority="31" operator="between">
      <formula>0.76</formula>
      <formula>0.95</formula>
    </cfRule>
    <cfRule type="cellIs" dxfId="3631" priority="32" operator="between">
      <formula>0.51</formula>
      <formula>0.75</formula>
    </cfRule>
    <cfRule type="cellIs" dxfId="3630" priority="33" operator="greaterThan">
      <formula>1</formula>
    </cfRule>
    <cfRule type="cellIs" dxfId="3629" priority="34" operator="between">
      <formula>0.95</formula>
      <formula>1</formula>
    </cfRule>
    <cfRule type="cellIs" dxfId="3628" priority="35" stopIfTrue="1" operator="between">
      <formula>0</formula>
      <formula>0.5</formula>
    </cfRule>
  </conditionalFormatting>
  <conditionalFormatting sqref="AG355">
    <cfRule type="cellIs" dxfId="3627" priority="26" operator="between">
      <formula>0.76</formula>
      <formula>0.95</formula>
    </cfRule>
    <cfRule type="cellIs" dxfId="3626" priority="27" operator="between">
      <formula>0.51</formula>
      <formula>0.75</formula>
    </cfRule>
    <cfRule type="cellIs" dxfId="3625" priority="28" operator="greaterThan">
      <formula>1</formula>
    </cfRule>
    <cfRule type="cellIs" dxfId="3624" priority="29" operator="between">
      <formula>0.95</formula>
      <formula>1</formula>
    </cfRule>
    <cfRule type="cellIs" dxfId="3623" priority="30" stopIfTrue="1" operator="between">
      <formula>0</formula>
      <formula>0.5</formula>
    </cfRule>
  </conditionalFormatting>
  <conditionalFormatting sqref="AI360">
    <cfRule type="cellIs" dxfId="3622" priority="21" operator="between">
      <formula>0.76</formula>
      <formula>0.95</formula>
    </cfRule>
    <cfRule type="cellIs" dxfId="3621" priority="22" operator="between">
      <formula>0.51</formula>
      <formula>0.75</formula>
    </cfRule>
    <cfRule type="cellIs" dxfId="3620" priority="23" operator="greaterThan">
      <formula>1</formula>
    </cfRule>
    <cfRule type="cellIs" dxfId="3619" priority="24" operator="between">
      <formula>0.95</formula>
      <formula>1</formula>
    </cfRule>
    <cfRule type="cellIs" dxfId="3618" priority="25" stopIfTrue="1" operator="between">
      <formula>0</formula>
      <formula>0.5</formula>
    </cfRule>
  </conditionalFormatting>
  <conditionalFormatting sqref="AF360">
    <cfRule type="cellIs" dxfId="3617" priority="16" operator="between">
      <formula>0.76</formula>
      <formula>0.95</formula>
    </cfRule>
    <cfRule type="cellIs" dxfId="3616" priority="17" operator="between">
      <formula>0.51</formula>
      <formula>0.75</formula>
    </cfRule>
    <cfRule type="cellIs" dxfId="3615" priority="18" operator="greaterThan">
      <formula>1</formula>
    </cfRule>
    <cfRule type="cellIs" dxfId="3614" priority="19" operator="between">
      <formula>0.95</formula>
      <formula>1</formula>
    </cfRule>
    <cfRule type="cellIs" dxfId="3613" priority="20" stopIfTrue="1" operator="between">
      <formula>0</formula>
      <formula>0.5</formula>
    </cfRule>
  </conditionalFormatting>
  <conditionalFormatting sqref="AH360">
    <cfRule type="cellIs" dxfId="3612" priority="11" operator="between">
      <formula>0.76</formula>
      <formula>0.95</formula>
    </cfRule>
    <cfRule type="cellIs" dxfId="3611" priority="12" operator="between">
      <formula>0.51</formula>
      <formula>0.75</formula>
    </cfRule>
    <cfRule type="cellIs" dxfId="3610" priority="13" operator="greaterThan">
      <formula>1</formula>
    </cfRule>
    <cfRule type="cellIs" dxfId="3609" priority="14" operator="between">
      <formula>0.95</formula>
      <formula>1</formula>
    </cfRule>
    <cfRule type="cellIs" dxfId="3608" priority="15" stopIfTrue="1" operator="between">
      <formula>0</formula>
      <formula>0.5</formula>
    </cfRule>
  </conditionalFormatting>
  <conditionalFormatting sqref="AG360">
    <cfRule type="cellIs" dxfId="3607" priority="6" operator="between">
      <formula>0.76</formula>
      <formula>0.95</formula>
    </cfRule>
    <cfRule type="cellIs" dxfId="3606" priority="7" operator="between">
      <formula>0.51</formula>
      <formula>0.75</formula>
    </cfRule>
    <cfRule type="cellIs" dxfId="3605" priority="8" operator="greaterThan">
      <formula>1</formula>
    </cfRule>
    <cfRule type="cellIs" dxfId="3604" priority="9" operator="between">
      <formula>0.95</formula>
      <formula>1</formula>
    </cfRule>
    <cfRule type="cellIs" dxfId="3603" priority="10" stopIfTrue="1" operator="between">
      <formula>0</formula>
      <formula>0.5</formula>
    </cfRule>
  </conditionalFormatting>
  <conditionalFormatting sqref="AI136">
    <cfRule type="cellIs" dxfId="3602" priority="1" operator="between">
      <formula>0.76</formula>
      <formula>0.95</formula>
    </cfRule>
    <cfRule type="cellIs" dxfId="3601" priority="2" operator="between">
      <formula>0.51</formula>
      <formula>0.75</formula>
    </cfRule>
    <cfRule type="cellIs" dxfId="3600" priority="3" operator="greaterThan">
      <formula>1</formula>
    </cfRule>
    <cfRule type="cellIs" dxfId="3599" priority="4" operator="between">
      <formula>0.96</formula>
      <formula>1</formula>
    </cfRule>
    <cfRule type="cellIs" dxfId="3598" priority="5" stopIfTrue="1" operator="between">
      <formula>0</formula>
      <formula>0.5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957" id="{CB4887D6-A6EF-43BF-AAB5-CA2D4CE99947}">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19958" stopIfTrue="1" id="{A3174C5E-FE52-434E-8C63-478D70C7AC1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19959" stopIfTrue="1" id="{4E2C1DE6-E61E-4368-A799-08FEFDD385A2}">
            <xm:f>AND(IF(J36&lt;'F:\Users\norela.briceno\Documents\Plan de acción\Plan Accion 2018\[Plan Accion Integrado ADRES Vigencia 2018 con Cuadro de Mando V6..xlsx]Plan de Accion 2018'!#REF!,J36&lt;&gt;"N/A"))</xm:f>
            <x14:dxf>
              <fill>
                <patternFill>
                  <bgColor indexed="10"/>
                </patternFill>
              </fill>
            </x14:dxf>
          </x14:cfRule>
          <xm:sqref>J218:J220 Q218:Q220 AE218:AE219 X219:X220 J239:J240 Q239:Q240 AE239:AE240 J162 Q162 AE162 X162 J36 Q36 X36 AE36 J247 Q247 X247 AE247 J166:J171 Q166:Q169 X166:X169 AE166:AE169 J222 Q222 X222 AE171 X171 Q171</xm:sqref>
        </x14:conditionalFormatting>
        <x14:conditionalFormatting xmlns:xm="http://schemas.microsoft.com/office/excel/2006/main">
          <x14:cfRule type="expression" priority="19234" id="{238B3783-6103-4ED3-9181-4762EA6122FC}">
            <xm:f>AND(IF(J44&gt;'F:\Users\norela.briceno\Documents\Plan de acción\Plan Accion 2018\[Plan Accion Integrado ADRES Vigencia 2018 con Cuadro de Mando V6..xlsx]Plan de Accion 2018'!#REF!,J44&lt;&gt;¨N/A¨))</xm:f>
            <x14:dxf>
              <fill>
                <patternFill>
                  <bgColor theme="1" tint="0.499984740745262"/>
                </patternFill>
              </fill>
            </x14:dxf>
          </x14:cfRule>
          <x14:cfRule type="expression" priority="19235" stopIfTrue="1" id="{765A827D-A878-4B88-B8D3-300B6356F1B7}">
            <xm:f>AND(IF(J44='F:\Users\norela.briceno\Documents\Plan de acción\Plan Accion 2018\[Plan Accion Integrado ADRES Vigencia 2018 con Cuadro de Mando V6..xlsx]Plan de Accion 2018'!#REF!,J44&lt;&gt;"N/A"))</xm:f>
            <x14:dxf>
              <fill>
                <patternFill>
                  <bgColor rgb="FF00B050"/>
                </patternFill>
              </fill>
            </x14:dxf>
          </x14:cfRule>
          <x14:cfRule type="expression" priority="19236" stopIfTrue="1" id="{E60F6696-C8E7-4FD4-A968-3B4595025553}">
            <xm:f>AND(IF(J44&lt;'F:\Users\norela.briceno\Documents\Plan de acción\Plan Accion 2018\[Plan Accion Integrado ADRES Vigencia 2018 con Cuadro de Mando V6..xlsx]Plan de Accion 2018'!#REF!,J44&lt;&gt;"N/A"))</xm:f>
            <x14:dxf>
              <fill>
                <patternFill>
                  <bgColor indexed="10"/>
                </patternFill>
              </fill>
            </x14:dxf>
          </x14:cfRule>
          <xm:sqref>X162 X166:X169 AE222 J225:J226 Q225:Q226 X225:X226 AE225:AE226 J44:J45 Q44:Q45 X44:X45 AE44:AE45 X171 J118:J121 J57 Q57 X57 AE57 J140:J143 Q140:Q143 X140:X143 AE140:AE143 J92</xm:sqref>
        </x14:conditionalFormatting>
        <x14:conditionalFormatting xmlns:xm="http://schemas.microsoft.com/office/excel/2006/main">
          <x14:cfRule type="expression" priority="19231" id="{8C5B9726-0070-466E-9293-4FB0D4BFAECA}">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19232" stopIfTrue="1" id="{8B1C504B-F313-4E8E-964B-05A47B8417D5}">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19233" stopIfTrue="1" id="{3B5BD079-0278-402E-A7F8-D19A31DC38E3}">
            <xm:f>AND(IF(AE162&lt;'F:\Users\norela.briceno\Documents\Plan de acción\Plan Accion 2018\[Plan Accion Integrado ADRES Vigencia 2018 con Cuadro de Mando V6..xlsx]Plan de Accion 2018'!#REF!,AE162&lt;&gt;"N/A"))</xm:f>
            <x14:dxf>
              <fill>
                <patternFill>
                  <bgColor indexed="10"/>
                </patternFill>
              </fill>
            </x14:dxf>
          </x14:cfRule>
          <xm:sqref>AE166:AE169 AE162 AE171</xm:sqref>
        </x14:conditionalFormatting>
        <x14:conditionalFormatting xmlns:xm="http://schemas.microsoft.com/office/excel/2006/main">
          <x14:cfRule type="expression" priority="19240" id="{8DE4B417-6BFE-4282-AA67-86C278E5EE0D}">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19241" stopIfTrue="1" id="{89CC5DDF-3891-4955-8E6A-A940D65A42C3}">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19242" stopIfTrue="1" id="{E4CD26FB-B628-4FD4-BDEB-705D2991134E}">
            <xm:f>AND(IF(J162&lt;'F:\Users\norela.briceno\Documents\Plan de acción\Plan Accion 2018\[Plan Accion Integrado ADRES Vigencia 2018 con Cuadro de Mando V6..xlsx]Plan de Accion 2018'!#REF!,J162&lt;&gt;"N/A"))</xm:f>
            <x14:dxf>
              <fill>
                <patternFill>
                  <bgColor indexed="10"/>
                </patternFill>
              </fill>
            </x14:dxf>
          </x14:cfRule>
          <xm:sqref>J162 J166:J171</xm:sqref>
        </x14:conditionalFormatting>
        <x14:conditionalFormatting xmlns:xm="http://schemas.microsoft.com/office/excel/2006/main">
          <x14:cfRule type="expression" priority="19237" id="{3CB57BE2-E2B5-4D48-AC5E-FC33E65149E8}">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19238" stopIfTrue="1" id="{5D809DD5-28E9-43E1-860D-517172810AD1}">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19239" stopIfTrue="1" id="{0496DF38-4D8E-4675-ABBE-6EFB34E98ACB}">
            <xm:f>AND(IF(Q162&lt;'F:\Users\norela.briceno\Documents\Plan de acción\Plan Accion 2018\[Plan Accion Integrado ADRES Vigencia 2018 con Cuadro de Mando V6..xlsx]Plan de Accion 2018'!#REF!,Q162&lt;&gt;"N/A"))</xm:f>
            <x14:dxf>
              <fill>
                <patternFill>
                  <bgColor indexed="10"/>
                </patternFill>
              </fill>
            </x14:dxf>
          </x14:cfRule>
          <xm:sqref>Q166:Q169 Q162 Q171</xm:sqref>
        </x14:conditionalFormatting>
        <x14:conditionalFormatting xmlns:xm="http://schemas.microsoft.com/office/excel/2006/main">
          <x14:cfRule type="expression" priority="19180" id="{E471CD12-695A-4F08-9F8B-3703C9CCBC36}">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19181" stopIfTrue="1" id="{1B1985F8-D030-4EFE-AB33-6C3BE4FEC3DA}">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19182" stopIfTrue="1" id="{5F4C45A7-C314-4DA2-AC3C-8BDC44921CC4}">
            <xm:f>AND(IF(J134&lt;'F:\Users\norela.briceno\Documents\Plan de acción\Plan Accion 2018\[Plan Accion Integrado ADRES Vigencia 2018 con Cuadro de Mando V6..xlsx]Plan de Accion 2018'!#REF!,J134&lt;&gt;"N/A"))</xm:f>
            <x14:dxf>
              <fill>
                <patternFill>
                  <bgColor indexed="10"/>
                </patternFill>
              </fill>
            </x14:dxf>
          </x14:cfRule>
          <xm:sqref>J134</xm:sqref>
        </x14:conditionalFormatting>
        <x14:conditionalFormatting xmlns:xm="http://schemas.microsoft.com/office/excel/2006/main">
          <x14:cfRule type="expression" priority="19177" id="{8B98781D-034E-4F7D-B550-F42C8779B77D}">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19178" stopIfTrue="1" id="{C457E890-9F29-4262-AE21-5B89F8513DF5}">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19179" stopIfTrue="1" id="{DFC1EC4A-7557-40E1-8DE9-173AE3B3960B}">
            <xm:f>AND(IF(Q134&lt;'F:\Users\norela.briceno\Documents\Plan de acción\Plan Accion 2018\[Plan Accion Integrado ADRES Vigencia 2018 con Cuadro de Mando V6..xlsx]Plan de Accion 2018'!#REF!,Q134&lt;&gt;"N/A"))</xm:f>
            <x14:dxf>
              <fill>
                <patternFill>
                  <bgColor indexed="10"/>
                </patternFill>
              </fill>
            </x14:dxf>
          </x14:cfRule>
          <xm:sqref>Q134</xm:sqref>
        </x14:conditionalFormatting>
        <x14:conditionalFormatting xmlns:xm="http://schemas.microsoft.com/office/excel/2006/main">
          <x14:cfRule type="expression" priority="19174" id="{1EF93314-CAEF-429E-8A0B-69EA046C7AF2}">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19175" stopIfTrue="1" id="{397F626E-6C48-46E1-8B28-A4135333FA5E}">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19176" stopIfTrue="1" id="{2C042469-6C41-4FEE-9121-02CA36FA2497}">
            <xm:f>AND(IF(X134&lt;'F:\Users\norela.briceno\Documents\Plan de acción\Plan Accion 2018\[Plan Accion Integrado ADRES Vigencia 2018 con Cuadro de Mando V6..xlsx]Plan de Accion 2018'!#REF!,X134&lt;&gt;"N/A"))</xm:f>
            <x14:dxf>
              <fill>
                <patternFill>
                  <bgColor indexed="10"/>
                </patternFill>
              </fill>
            </x14:dxf>
          </x14:cfRule>
          <xm:sqref>X134</xm:sqref>
        </x14:conditionalFormatting>
        <x14:conditionalFormatting xmlns:xm="http://schemas.microsoft.com/office/excel/2006/main">
          <x14:cfRule type="expression" priority="19171" id="{5522EEE5-FBCB-408D-B972-C8E2C079E5BB}">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19172" stopIfTrue="1" id="{A90BC711-5B97-4888-8171-0C75892D8434}">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19173" stopIfTrue="1" id="{F18C59F5-C66C-43EC-8337-36A6D1671257}">
            <xm:f>AND(IF(AE134&lt;'F:\Users\norela.briceno\Documents\Plan de acción\Plan Accion 2018\[Plan Accion Integrado ADRES Vigencia 2018 con Cuadro de Mando V6..xlsx]Plan de Accion 2018'!#REF!,AE134&lt;&gt;"N/A"))</xm:f>
            <x14:dxf>
              <fill>
                <patternFill>
                  <bgColor indexed="10"/>
                </patternFill>
              </fill>
            </x14:dxf>
          </x14:cfRule>
          <xm:sqref>AE134</xm:sqref>
        </x14:conditionalFormatting>
        <x14:conditionalFormatting xmlns:xm="http://schemas.microsoft.com/office/excel/2006/main">
          <x14:cfRule type="expression" priority="18976"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8977"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8978"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8973"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8974"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8975"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8970"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8971"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8972"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8967"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8968"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8969"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8850" id="{9C196013-05AA-43F2-9E0E-6D95119C222C}">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18851" stopIfTrue="1" id="{63764F5A-9338-4711-A8BA-D3DD5FB05B46}">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18852" stopIfTrue="1" id="{851B5CE6-E0A8-400C-AEC8-A237D6E30E63}">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18847" id="{341FC693-1156-4021-943E-2961160B3823}">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18848" stopIfTrue="1" id="{B9B2E985-FA3E-4116-8433-380602BA9D49}">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18849" stopIfTrue="1" id="{21A8C6DB-9543-4D82-AA26-26F7177372D1}">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18844" id="{76BC88ED-09F8-4FA0-8D71-6FAB92EC5CF6}">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18845" stopIfTrue="1" id="{B373D37E-134E-48A1-9765-70B7A5089DD3}">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18846" stopIfTrue="1" id="{C23F2251-5E65-4272-BFFB-3EB819B9A7B6}">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18841" id="{C8A0AF81-B406-4001-B0F9-84C45F987ACC}">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18842" stopIfTrue="1" id="{A89D0368-94AE-4C3D-A834-842860137D7C}">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18843" stopIfTrue="1" id="{7A602386-689F-4A45-AF0A-8271AFC80BB5}">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18773" id="{0D4417A6-400F-414B-AF05-A05F03FD012D}">
            <xm:f>AND(IF(J137&gt;'F:\Users\norela.briceno\Documents\Plan de acción\Plan Accion 2018\[Plan Accion Integrado ADRES Vigencia 2018 con Cuadro de Mando V6..xlsx]Plan de Accion 2018'!#REF!,J137&lt;&gt;¨N/A¨))</xm:f>
            <x14:dxf>
              <fill>
                <patternFill>
                  <bgColor theme="1" tint="0.499984740745262"/>
                </patternFill>
              </fill>
            </x14:dxf>
          </x14:cfRule>
          <x14:cfRule type="expression" priority="18774" stopIfTrue="1" id="{C7ECAE34-A11F-4E2E-A007-01D7E18B19B8}">
            <xm:f>AND(IF(J137='F:\Users\norela.briceno\Documents\Plan de acción\Plan Accion 2018\[Plan Accion Integrado ADRES Vigencia 2018 con Cuadro de Mando V6..xlsx]Plan de Accion 2018'!#REF!,J137&lt;&gt;"N/A"))</xm:f>
            <x14:dxf>
              <fill>
                <patternFill>
                  <bgColor rgb="FF00B050"/>
                </patternFill>
              </fill>
            </x14:dxf>
          </x14:cfRule>
          <x14:cfRule type="expression" priority="18775" stopIfTrue="1" id="{F4F94C31-E482-412C-8F5A-EB9144BC2AAF}">
            <xm:f>AND(IF(J137&lt;'F:\Users\norela.briceno\Documents\Plan de acción\Plan Accion 2018\[Plan Accion Integrado ADRES Vigencia 2018 con Cuadro de Mando V6..xlsx]Plan de Accion 2018'!#REF!,J137&lt;&gt;"N/A"))</xm:f>
            <x14:dxf>
              <fill>
                <patternFill>
                  <bgColor indexed="10"/>
                </patternFill>
              </fill>
            </x14:dxf>
          </x14:cfRule>
          <xm:sqref>J137</xm:sqref>
        </x14:conditionalFormatting>
        <x14:conditionalFormatting xmlns:xm="http://schemas.microsoft.com/office/excel/2006/main">
          <x14:cfRule type="expression" priority="18770" id="{CADA4FEF-25E8-4E24-8676-86544C72E810}">
            <xm:f>AND(IF(Q137&gt;'F:\Users\norela.briceno\Documents\Plan de acción\Plan Accion 2018\[Plan Accion Integrado ADRES Vigencia 2018 con Cuadro de Mando V6..xlsx]Plan de Accion 2018'!#REF!,Q137&lt;&gt;¨N/A¨))</xm:f>
            <x14:dxf>
              <fill>
                <patternFill>
                  <bgColor theme="1" tint="0.499984740745262"/>
                </patternFill>
              </fill>
            </x14:dxf>
          </x14:cfRule>
          <x14:cfRule type="expression" priority="18771" stopIfTrue="1" id="{28E8BD35-B36C-4F0D-A360-0D02D95F1B70}">
            <xm:f>AND(IF(Q137='F:\Users\norela.briceno\Documents\Plan de acción\Plan Accion 2018\[Plan Accion Integrado ADRES Vigencia 2018 con Cuadro de Mando V6..xlsx]Plan de Accion 2018'!#REF!,Q137&lt;&gt;"N/A"))</xm:f>
            <x14:dxf>
              <fill>
                <patternFill>
                  <bgColor rgb="FF00B050"/>
                </patternFill>
              </fill>
            </x14:dxf>
          </x14:cfRule>
          <x14:cfRule type="expression" priority="18772" stopIfTrue="1" id="{D64F186C-9B47-4C0B-A8DE-63494E1FD7C2}">
            <xm:f>AND(IF(Q137&lt;'F:\Users\norela.briceno\Documents\Plan de acción\Plan Accion 2018\[Plan Accion Integrado ADRES Vigencia 2018 con Cuadro de Mando V6..xlsx]Plan de Accion 2018'!#REF!,Q137&lt;&gt;"N/A"))</xm:f>
            <x14:dxf>
              <fill>
                <patternFill>
                  <bgColor indexed="10"/>
                </patternFill>
              </fill>
            </x14:dxf>
          </x14:cfRule>
          <xm:sqref>Q137</xm:sqref>
        </x14:conditionalFormatting>
        <x14:conditionalFormatting xmlns:xm="http://schemas.microsoft.com/office/excel/2006/main">
          <x14:cfRule type="expression" priority="18767" id="{916BAD03-218B-4F7F-B26D-FBB96C6BC100}">
            <xm:f>AND(IF(X137&gt;'F:\Users\norela.briceno\Documents\Plan de acción\Plan Accion 2018\[Plan Accion Integrado ADRES Vigencia 2018 con Cuadro de Mando V6..xlsx]Plan de Accion 2018'!#REF!,X137&lt;&gt;¨N/A¨))</xm:f>
            <x14:dxf>
              <fill>
                <patternFill>
                  <bgColor theme="1" tint="0.499984740745262"/>
                </patternFill>
              </fill>
            </x14:dxf>
          </x14:cfRule>
          <x14:cfRule type="expression" priority="18768" stopIfTrue="1" id="{B2C86A9C-5C41-4F62-993C-DC1850EA9160}">
            <xm:f>AND(IF(X137='F:\Users\norela.briceno\Documents\Plan de acción\Plan Accion 2018\[Plan Accion Integrado ADRES Vigencia 2018 con Cuadro de Mando V6..xlsx]Plan de Accion 2018'!#REF!,X137&lt;&gt;"N/A"))</xm:f>
            <x14:dxf>
              <fill>
                <patternFill>
                  <bgColor rgb="FF00B050"/>
                </patternFill>
              </fill>
            </x14:dxf>
          </x14:cfRule>
          <x14:cfRule type="expression" priority="18769" stopIfTrue="1" id="{9E9B88CC-13D9-49FC-BCA5-FDB64E41CFDC}">
            <xm:f>AND(IF(X137&lt;'F:\Users\norela.briceno\Documents\Plan de acción\Plan Accion 2018\[Plan Accion Integrado ADRES Vigencia 2018 con Cuadro de Mando V6..xlsx]Plan de Accion 2018'!#REF!,X137&lt;&gt;"N/A"))</xm:f>
            <x14:dxf>
              <fill>
                <patternFill>
                  <bgColor indexed="10"/>
                </patternFill>
              </fill>
            </x14:dxf>
          </x14:cfRule>
          <xm:sqref>X137</xm:sqref>
        </x14:conditionalFormatting>
        <x14:conditionalFormatting xmlns:xm="http://schemas.microsoft.com/office/excel/2006/main">
          <x14:cfRule type="expression" priority="18764" id="{BC80802F-3823-4966-A485-F89AC784156B}">
            <xm:f>AND(IF(AE137&gt;'F:\Users\norela.briceno\Documents\Plan de acción\Plan Accion 2018\[Plan Accion Integrado ADRES Vigencia 2018 con Cuadro de Mando V6..xlsx]Plan de Accion 2018'!#REF!,AE137&lt;&gt;¨N/A¨))</xm:f>
            <x14:dxf>
              <fill>
                <patternFill>
                  <bgColor theme="1" tint="0.499984740745262"/>
                </patternFill>
              </fill>
            </x14:dxf>
          </x14:cfRule>
          <x14:cfRule type="expression" priority="18765" stopIfTrue="1" id="{79D950C5-B447-4581-A6B3-6FB2DCC01E85}">
            <xm:f>AND(IF(AE137='F:\Users\norela.briceno\Documents\Plan de acción\Plan Accion 2018\[Plan Accion Integrado ADRES Vigencia 2018 con Cuadro de Mando V6..xlsx]Plan de Accion 2018'!#REF!,AE137&lt;&gt;"N/A"))</xm:f>
            <x14:dxf>
              <fill>
                <patternFill>
                  <bgColor rgb="FF00B050"/>
                </patternFill>
              </fill>
            </x14:dxf>
          </x14:cfRule>
          <x14:cfRule type="expression" priority="18766" stopIfTrue="1" id="{FB9041D3-8102-4278-B37C-D4B90A483650}">
            <xm:f>AND(IF(AE137&lt;'F:\Users\norela.briceno\Documents\Plan de acción\Plan Accion 2018\[Plan Accion Integrado ADRES Vigencia 2018 con Cuadro de Mando V6..xlsx]Plan de Accion 2018'!#REF!,AE137&lt;&gt;"N/A"))</xm:f>
            <x14:dxf>
              <fill>
                <patternFill>
                  <bgColor indexed="10"/>
                </patternFill>
              </fill>
            </x14:dxf>
          </x14:cfRule>
          <xm:sqref>AE137</xm:sqref>
        </x14:conditionalFormatting>
        <x14:conditionalFormatting xmlns:xm="http://schemas.microsoft.com/office/excel/2006/main">
          <x14:cfRule type="expression" priority="18701"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8702"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8703"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8698"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8699"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8700"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8695"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8696"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8697"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8692"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8693"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8694"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8629"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8630"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8631"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8626"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8627"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8628"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8623"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8624"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8625"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8620"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8621"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8622"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8455" id="{313B1168-59D5-41A1-ABFB-BF585C458BFC}">
            <xm:f>AND(IF(J139&gt;'F:\Users\norela.briceno\Documents\Plan de acción\Plan Accion 2018\[Plan Accion Integrado ADRES Vigencia 2018 con Cuadro de Mando V6..xlsx]Plan de Accion 2018'!#REF!,J139&lt;&gt;¨N/A¨))</xm:f>
            <x14:dxf>
              <fill>
                <patternFill>
                  <bgColor theme="1" tint="0.499984740745262"/>
                </patternFill>
              </fill>
            </x14:dxf>
          </x14:cfRule>
          <x14:cfRule type="expression" priority="18456" stopIfTrue="1" id="{C1B798F1-86D5-4D62-9626-F867F3DF00D8}">
            <xm:f>AND(IF(J139='F:\Users\norela.briceno\Documents\Plan de acción\Plan Accion 2018\[Plan Accion Integrado ADRES Vigencia 2018 con Cuadro de Mando V6..xlsx]Plan de Accion 2018'!#REF!,J139&lt;&gt;"N/A"))</xm:f>
            <x14:dxf>
              <fill>
                <patternFill>
                  <bgColor rgb="FF00B050"/>
                </patternFill>
              </fill>
            </x14:dxf>
          </x14:cfRule>
          <x14:cfRule type="expression" priority="18457" stopIfTrue="1" id="{107A7545-BE5E-47BD-AFEA-F41828694E53}">
            <xm:f>AND(IF(J139&lt;'F:\Users\norela.briceno\Documents\Plan de acción\Plan Accion 2018\[Plan Accion Integrado ADRES Vigencia 2018 con Cuadro de Mando V6..xlsx]Plan de Accion 2018'!#REF!,J139&lt;&gt;"N/A"))</xm:f>
            <x14:dxf>
              <fill>
                <patternFill>
                  <bgColor indexed="10"/>
                </patternFill>
              </fill>
            </x14:dxf>
          </x14:cfRule>
          <xm:sqref>J139</xm:sqref>
        </x14:conditionalFormatting>
        <x14:conditionalFormatting xmlns:xm="http://schemas.microsoft.com/office/excel/2006/main">
          <x14:cfRule type="expression" priority="18306"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8307"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8308"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8303"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8304"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8305"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8300"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8301"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8302"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8297"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8298"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8299"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8234"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8235"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8236"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8231"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8232"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8233"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8228"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8229"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8230"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8225"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8226"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8227"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8157" id="{47A36DA8-DEE6-4662-9533-F961EDA84054}">
            <xm:f>AND(IF(J144&gt;'F:\Users\norela.briceno\Documents\Plan de acción\Plan Accion 2018\[Plan Accion Integrado ADRES Vigencia 2018 con Cuadro de Mando V6..xlsx]Plan de Accion 2018'!#REF!,J144&lt;&gt;¨N/A¨))</xm:f>
            <x14:dxf>
              <fill>
                <patternFill>
                  <bgColor theme="1" tint="0.499984740745262"/>
                </patternFill>
              </fill>
            </x14:dxf>
          </x14:cfRule>
          <x14:cfRule type="expression" priority="18158" stopIfTrue="1" id="{CF0F8BD8-D3EC-466E-8420-04AE4D50761E}">
            <xm:f>AND(IF(J144='F:\Users\norela.briceno\Documents\Plan de acción\Plan Accion 2018\[Plan Accion Integrado ADRES Vigencia 2018 con Cuadro de Mando V6..xlsx]Plan de Accion 2018'!#REF!,J144&lt;&gt;"N/A"))</xm:f>
            <x14:dxf>
              <fill>
                <patternFill>
                  <bgColor rgb="FF00B050"/>
                </patternFill>
              </fill>
            </x14:dxf>
          </x14:cfRule>
          <x14:cfRule type="expression" priority="18159" stopIfTrue="1" id="{4FDA5B06-A18D-4A5C-AFC4-ABE06188B13F}">
            <xm:f>AND(IF(J144&lt;'F:\Users\norela.briceno\Documents\Plan de acción\Plan Accion 2018\[Plan Accion Integrado ADRES Vigencia 2018 con Cuadro de Mando V6..xlsx]Plan de Accion 2018'!#REF!,J144&lt;&gt;"N/A"))</xm:f>
            <x14:dxf>
              <fill>
                <patternFill>
                  <bgColor indexed="10"/>
                </patternFill>
              </fill>
            </x14:dxf>
          </x14:cfRule>
          <xm:sqref>J144:J145 J147</xm:sqref>
        </x14:conditionalFormatting>
        <x14:conditionalFormatting xmlns:xm="http://schemas.microsoft.com/office/excel/2006/main">
          <x14:cfRule type="expression" priority="18154" id="{3A0EF18A-B871-4828-AE40-7520050855C6}">
            <xm:f>AND(IF(Q144&gt;'F:\Users\norela.briceno\Documents\Plan de acción\Plan Accion 2018\[Plan Accion Integrado ADRES Vigencia 2018 con Cuadro de Mando V6..xlsx]Plan de Accion 2018'!#REF!,Q144&lt;&gt;¨N/A¨))</xm:f>
            <x14:dxf>
              <fill>
                <patternFill>
                  <bgColor theme="1" tint="0.499984740745262"/>
                </patternFill>
              </fill>
            </x14:dxf>
          </x14:cfRule>
          <x14:cfRule type="expression" priority="18155" stopIfTrue="1" id="{0ADF8710-E297-46D9-B80F-AD638DBA8694}">
            <xm:f>AND(IF(Q144='F:\Users\norela.briceno\Documents\Plan de acción\Plan Accion 2018\[Plan Accion Integrado ADRES Vigencia 2018 con Cuadro de Mando V6..xlsx]Plan de Accion 2018'!#REF!,Q144&lt;&gt;"N/A"))</xm:f>
            <x14:dxf>
              <fill>
                <patternFill>
                  <bgColor rgb="FF00B050"/>
                </patternFill>
              </fill>
            </x14:dxf>
          </x14:cfRule>
          <x14:cfRule type="expression" priority="18156" stopIfTrue="1" id="{DDBDA99C-F658-4605-8516-FCBE8467DC0F}">
            <xm:f>AND(IF(Q144&lt;'F:\Users\norela.briceno\Documents\Plan de acción\Plan Accion 2018\[Plan Accion Integrado ADRES Vigencia 2018 con Cuadro de Mando V6..xlsx]Plan de Accion 2018'!#REF!,Q144&lt;&gt;"N/A"))</xm:f>
            <x14:dxf>
              <fill>
                <patternFill>
                  <bgColor indexed="10"/>
                </patternFill>
              </fill>
            </x14:dxf>
          </x14:cfRule>
          <xm:sqref>Q144:Q145 Q147</xm:sqref>
        </x14:conditionalFormatting>
        <x14:conditionalFormatting xmlns:xm="http://schemas.microsoft.com/office/excel/2006/main">
          <x14:cfRule type="expression" priority="18151" id="{9743637B-3577-47F2-B332-54ACF2828492}">
            <xm:f>AND(IF(X144&gt;'F:\Users\norela.briceno\Documents\Plan de acción\Plan Accion 2018\[Plan Accion Integrado ADRES Vigencia 2018 con Cuadro de Mando V6..xlsx]Plan de Accion 2018'!#REF!,X144&lt;&gt;¨N/A¨))</xm:f>
            <x14:dxf>
              <fill>
                <patternFill>
                  <bgColor theme="1" tint="0.499984740745262"/>
                </patternFill>
              </fill>
            </x14:dxf>
          </x14:cfRule>
          <x14:cfRule type="expression" priority="18152" stopIfTrue="1" id="{931BBBC9-1706-4AC9-8152-9A34297A9AB7}">
            <xm:f>AND(IF(X144='F:\Users\norela.briceno\Documents\Plan de acción\Plan Accion 2018\[Plan Accion Integrado ADRES Vigencia 2018 con Cuadro de Mando V6..xlsx]Plan de Accion 2018'!#REF!,X144&lt;&gt;"N/A"))</xm:f>
            <x14:dxf>
              <fill>
                <patternFill>
                  <bgColor rgb="FF00B050"/>
                </patternFill>
              </fill>
            </x14:dxf>
          </x14:cfRule>
          <x14:cfRule type="expression" priority="18153" stopIfTrue="1" id="{49EFC321-026A-4439-9042-826A3D9217A0}">
            <xm:f>AND(IF(X144&lt;'F:\Users\norela.briceno\Documents\Plan de acción\Plan Accion 2018\[Plan Accion Integrado ADRES Vigencia 2018 con Cuadro de Mando V6..xlsx]Plan de Accion 2018'!#REF!,X144&lt;&gt;"N/A"))</xm:f>
            <x14:dxf>
              <fill>
                <patternFill>
                  <bgColor indexed="10"/>
                </patternFill>
              </fill>
            </x14:dxf>
          </x14:cfRule>
          <xm:sqref>X144:X145 X147</xm:sqref>
        </x14:conditionalFormatting>
        <x14:conditionalFormatting xmlns:xm="http://schemas.microsoft.com/office/excel/2006/main">
          <x14:cfRule type="expression" priority="18148" id="{3B0ED06F-A5D0-4CF9-9388-2CF946D3167B}">
            <xm:f>AND(IF(AE144&gt;'F:\Users\norela.briceno\Documents\Plan de acción\Plan Accion 2018\[Plan Accion Integrado ADRES Vigencia 2018 con Cuadro de Mando V6..xlsx]Plan de Accion 2018'!#REF!,AE144&lt;&gt;¨N/A¨))</xm:f>
            <x14:dxf>
              <fill>
                <patternFill>
                  <bgColor theme="1" tint="0.499984740745262"/>
                </patternFill>
              </fill>
            </x14:dxf>
          </x14:cfRule>
          <x14:cfRule type="expression" priority="18149" stopIfTrue="1" id="{45AA29E1-BF58-4418-8C28-C617ACCFAF58}">
            <xm:f>AND(IF(AE144='F:\Users\norela.briceno\Documents\Plan de acción\Plan Accion 2018\[Plan Accion Integrado ADRES Vigencia 2018 con Cuadro de Mando V6..xlsx]Plan de Accion 2018'!#REF!,AE144&lt;&gt;"N/A"))</xm:f>
            <x14:dxf>
              <fill>
                <patternFill>
                  <bgColor rgb="FF00B050"/>
                </patternFill>
              </fill>
            </x14:dxf>
          </x14:cfRule>
          <x14:cfRule type="expression" priority="18150" stopIfTrue="1" id="{EFF5CC4C-27B1-4339-ABE6-0E9B7DB15655}">
            <xm:f>AND(IF(AE144&lt;'F:\Users\norela.briceno\Documents\Plan de acción\Plan Accion 2018\[Plan Accion Integrado ADRES Vigencia 2018 con Cuadro de Mando V6..xlsx]Plan de Accion 2018'!#REF!,AE144&lt;&gt;"N/A"))</xm:f>
            <x14:dxf>
              <fill>
                <patternFill>
                  <bgColor indexed="10"/>
                </patternFill>
              </fill>
            </x14:dxf>
          </x14:cfRule>
          <xm:sqref>AE144:AE145 AE147</xm:sqref>
        </x14:conditionalFormatting>
        <x14:conditionalFormatting xmlns:xm="http://schemas.microsoft.com/office/excel/2006/main">
          <x14:cfRule type="expression" priority="18060" id="{21A64BE4-ACED-4979-B0B4-FBCFE92724B5}">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8061" stopIfTrue="1" id="{6FE0532C-0FC4-438D-9C0A-848A372554B0}">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8062" stopIfTrue="1" id="{ABBA859D-5D9D-4583-8510-0AC977CFFB25}">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18057" id="{F016FA6B-D594-43D2-A5C3-DC39C05E508F}">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8058" stopIfTrue="1" id="{D18AEB55-1586-48BC-8CD2-C1C043CACFB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8059" stopIfTrue="1" id="{4332E935-F38E-40CA-923F-82B7A94EAA61}">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18054" id="{B354AB35-7FB3-4AD1-9A1A-1CF46F923E62}">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8055" stopIfTrue="1" id="{B36353BA-CD19-465C-8A8F-E03F5B5140F7}">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8056" stopIfTrue="1" id="{74D3E9BC-0DBC-40D5-B1BB-DD492EA00BBC}">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18051" id="{5492AA5F-744D-4654-AA1B-5E5DF5DC73F2}">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8052" stopIfTrue="1" id="{FA6E0F06-0199-4F30-B46B-D62A3AC932D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8053" stopIfTrue="1" id="{64A94578-E64D-4994-90BF-30C196694C3B}">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17988"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7989"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7990"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7985"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7986"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7987"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7982"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7983"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7984"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7979"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7980"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7981"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7844"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7845"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7846"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7841"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7842"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7843"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7838"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7839"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7840"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7835"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7836"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7837"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7767" id="{A87E6FCD-5F0C-40D2-B4BF-B63ACE0EF787}">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7768" stopIfTrue="1" id="{3BD59B1D-FC30-4C59-A038-D5A4CFE3F6CD}">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7769" stopIfTrue="1" id="{0BE6BA58-CADF-4A78-AFC9-0681FB15D8AD}">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7764" id="{BD5EF62B-B7FD-4973-BC9B-3690B1B5808D}">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7765" stopIfTrue="1" id="{A9BB534A-5C93-4B86-8B78-0E9826EFCF49}">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7766" stopIfTrue="1" id="{7A1ECE43-508A-49CF-B16F-B96CCC2C64F3}">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7761" id="{C694BEB1-75A0-4782-910D-93CAFBD09EF3}">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7762" stopIfTrue="1" id="{355C1014-79FB-4621-8B09-419D88257DC1}">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7763" stopIfTrue="1" id="{5233D594-23B7-4E3C-AEDC-F5B7A38D912B}">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7758" id="{61169590-D504-442D-9322-863D51CA0D6F}">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7759" stopIfTrue="1" id="{102F8A46-CEEC-4990-96AF-3BC6E1EBC570}">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7760" stopIfTrue="1" id="{59A60A53-ED6A-4958-8E58-D9E6FCF8864E}">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7690" id="{0ED91EF8-475A-4068-92F9-7102519CB6D3}">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7691" stopIfTrue="1" id="{46B9C0BB-5266-4DED-BC94-C6782E0835C3}">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7692" stopIfTrue="1" id="{5A2BD551-C260-4530-B8A4-32C4B1C28CAF}">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17687" id="{1D510FA7-B2B6-43CC-9F97-5030200BFC08}">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7688" stopIfTrue="1" id="{F48F875B-E974-4609-889A-19A7AEFF4537}">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7689" stopIfTrue="1" id="{88ADEF19-0A24-44D9-952E-E8717D6C580F}">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17684" id="{B3ED6707-039F-47D0-9FAA-180C3FD1A5B7}">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17685" stopIfTrue="1" id="{CDE7F0EE-3C00-41FD-9410-D119CD87BA04}">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17686" stopIfTrue="1" id="{5B680C07-A3D6-4BFF-BC8A-E6407CE0CD85}">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17681" id="{43BB5E91-95C4-4CEE-891B-C503D7546140}">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7682" stopIfTrue="1" id="{6C88E0F5-CC68-4625-8045-FC20F975A1DD}">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7683" stopIfTrue="1" id="{2D41C2D2-B626-4D58-877C-8D84C2F04597}">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17613" id="{2B0E921C-7E97-47BE-99D7-397A56AC0027}">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7614" stopIfTrue="1" id="{7BDB001C-A8B1-4E69-95B1-0BD8E288CA4E}">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7615" stopIfTrue="1" id="{D0033B9C-FAA9-47FF-8435-96A86EA39291}">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7610" id="{D17D901A-79CB-4A10-BE56-0A065871E34A}">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7611" stopIfTrue="1" id="{F9B4E308-B9F2-45AA-A20B-E7E10BD8122E}">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7612" stopIfTrue="1" id="{179A1BDC-E597-47A4-8381-EC929033B38D}">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607" id="{B99419E0-A861-48F9-B659-312D38D199ED}">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7608" stopIfTrue="1" id="{0F359E98-A741-44BA-A488-5C89FDFAED07}">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7609" stopIfTrue="1" id="{75FE316F-C38C-46CE-A8F9-81D31B915071}">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7604" id="{E92A5AB1-83EC-476E-B45D-2A1DDC03E772}">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7605" stopIfTrue="1" id="{C9EB158C-966F-4250-BA1E-EE1491FFB9B8}">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7606" stopIfTrue="1" id="{5D738B1D-B00B-4622-B166-25F0E743A7BF}">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7536" id="{CB3250C1-F02A-4C3B-BED7-B05E3A4485AE}">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17537" stopIfTrue="1" id="{EEE70E4A-98FD-403B-A65C-1472516E541E}">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17538" stopIfTrue="1" id="{D2DB4C91-148B-42A8-B2DB-EA16DCDC259E}">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17533" id="{942DE3E6-3E44-49D1-9BDD-CA31438B8532}">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17534" stopIfTrue="1" id="{5E8BC55C-F131-4CC3-B944-50B5C736F561}">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17535" stopIfTrue="1" id="{6213E078-55F7-459A-B496-1017CEA3EE83}">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17530" id="{8D6FBF0B-EE48-4210-9AA0-5E0253686DB8}">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17531" stopIfTrue="1" id="{0025F0EC-F9A2-4ABE-BA94-B1BEDE186441}">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17532" stopIfTrue="1" id="{90E7B6BF-942E-4E9F-9BBF-F391A68A6869}">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17527" id="{4BFF00F4-02B0-4432-90B5-D5E181D01C3E}">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17528" stopIfTrue="1" id="{B4D9B1F9-3275-4EC3-9DB7-F03BBB7D6CA3}">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17529" stopIfTrue="1" id="{097B9423-27A6-47AD-921B-4470FCAFDEEF}">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17342" id="{A55A63C4-05D8-4CDC-BF30-37D903F91C8A}">
            <xm:f>AND(IF(J213&gt;'F:\Users\norela.briceno\Documents\Plan de acción\Plan Accion 2018\[Plan Accion Integrado ADRES Vigencia 2018 con Cuadro de Mando V6..xlsx]Plan de Accion 2018'!#REF!,J213&lt;&gt;¨N/A¨))</xm:f>
            <x14:dxf>
              <fill>
                <patternFill>
                  <bgColor theme="1" tint="0.499984740745262"/>
                </patternFill>
              </fill>
            </x14:dxf>
          </x14:cfRule>
          <x14:cfRule type="expression" priority="17343" stopIfTrue="1" id="{9461542F-9C86-4683-BB82-67DD1615FF51}">
            <xm:f>AND(IF(J213='F:\Users\norela.briceno\Documents\Plan de acción\Plan Accion 2018\[Plan Accion Integrado ADRES Vigencia 2018 con Cuadro de Mando V6..xlsx]Plan de Accion 2018'!#REF!,J213&lt;&gt;"N/A"))</xm:f>
            <x14:dxf>
              <fill>
                <patternFill>
                  <bgColor rgb="FF00B050"/>
                </patternFill>
              </fill>
            </x14:dxf>
          </x14:cfRule>
          <x14:cfRule type="expression" priority="17344" stopIfTrue="1" id="{A631C208-DFF6-4992-BF50-186E3F1DE138}">
            <xm:f>AND(IF(J213&lt;'F:\Users\norela.briceno\Documents\Plan de acción\Plan Accion 2018\[Plan Accion Integrado ADRES Vigencia 2018 con Cuadro de Mando V6..xlsx]Plan de Accion 2018'!#REF!,J213&lt;&gt;"N/A"))</xm:f>
            <x14:dxf>
              <fill>
                <patternFill>
                  <bgColor indexed="10"/>
                </patternFill>
              </fill>
            </x14:dxf>
          </x14:cfRule>
          <xm:sqref>J213</xm:sqref>
        </x14:conditionalFormatting>
        <x14:conditionalFormatting xmlns:xm="http://schemas.microsoft.com/office/excel/2006/main">
          <x14:cfRule type="expression" priority="17339" id="{4813EAF7-73A0-4D4A-A76F-7B6576C12516}">
            <xm:f>AND(IF(Q213&gt;'F:\Users\norela.briceno\Documents\Plan de acción\Plan Accion 2018\[Plan Accion Integrado ADRES Vigencia 2018 con Cuadro de Mando V6..xlsx]Plan de Accion 2018'!#REF!,Q213&lt;&gt;¨N/A¨))</xm:f>
            <x14:dxf>
              <fill>
                <patternFill>
                  <bgColor theme="1" tint="0.499984740745262"/>
                </patternFill>
              </fill>
            </x14:dxf>
          </x14:cfRule>
          <x14:cfRule type="expression" priority="17340" stopIfTrue="1" id="{994D40D6-416D-4CAC-9421-D4811F0B6F13}">
            <xm:f>AND(IF(Q213='F:\Users\norela.briceno\Documents\Plan de acción\Plan Accion 2018\[Plan Accion Integrado ADRES Vigencia 2018 con Cuadro de Mando V6..xlsx]Plan de Accion 2018'!#REF!,Q213&lt;&gt;"N/A"))</xm:f>
            <x14:dxf>
              <fill>
                <patternFill>
                  <bgColor rgb="FF00B050"/>
                </patternFill>
              </fill>
            </x14:dxf>
          </x14:cfRule>
          <x14:cfRule type="expression" priority="17341" stopIfTrue="1" id="{D60C1CE9-7B57-44C8-BA08-93D4B96EC0BB}">
            <xm:f>AND(IF(Q213&lt;'F:\Users\norela.briceno\Documents\Plan de acción\Plan Accion 2018\[Plan Accion Integrado ADRES Vigencia 2018 con Cuadro de Mando V6..xlsx]Plan de Accion 2018'!#REF!,Q213&lt;&gt;"N/A"))</xm:f>
            <x14:dxf>
              <fill>
                <patternFill>
                  <bgColor indexed="10"/>
                </patternFill>
              </fill>
            </x14:dxf>
          </x14:cfRule>
          <xm:sqref>Q213</xm:sqref>
        </x14:conditionalFormatting>
        <x14:conditionalFormatting xmlns:xm="http://schemas.microsoft.com/office/excel/2006/main">
          <x14:cfRule type="expression" priority="17336" id="{C6FAF6D6-6A77-4558-850A-966247775B25}">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17337" stopIfTrue="1" id="{97EA954F-BBF8-437E-818F-3C6AC6377FC4}">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17338" stopIfTrue="1" id="{972DD4F5-A90B-497C-8D90-8735FB264E95}">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17333" id="{F03B5ED3-F63A-4BE4-8788-4A0A1E59F5CF}">
            <xm:f>AND(IF(AE213&gt;'F:\Users\norela.briceno\Documents\Plan de acción\Plan Accion 2018\[Plan Accion Integrado ADRES Vigencia 2018 con Cuadro de Mando V6..xlsx]Plan de Accion 2018'!#REF!,AE213&lt;&gt;¨N/A¨))</xm:f>
            <x14:dxf>
              <fill>
                <patternFill>
                  <bgColor theme="1" tint="0.499984740745262"/>
                </patternFill>
              </fill>
            </x14:dxf>
          </x14:cfRule>
          <x14:cfRule type="expression" priority="17334" stopIfTrue="1" id="{30967399-6FCC-4A85-B78F-ED324DF65B2D}">
            <xm:f>AND(IF(AE213='F:\Users\norela.briceno\Documents\Plan de acción\Plan Accion 2018\[Plan Accion Integrado ADRES Vigencia 2018 con Cuadro de Mando V6..xlsx]Plan de Accion 2018'!#REF!,AE213&lt;&gt;"N/A"))</xm:f>
            <x14:dxf>
              <fill>
                <patternFill>
                  <bgColor rgb="FF00B050"/>
                </patternFill>
              </fill>
            </x14:dxf>
          </x14:cfRule>
          <x14:cfRule type="expression" priority="17335" stopIfTrue="1" id="{79EA914E-2061-4933-8161-14CA1D6C8C40}">
            <xm:f>AND(IF(AE213&lt;'F:\Users\norela.briceno\Documents\Plan de acción\Plan Accion 2018\[Plan Accion Integrado ADRES Vigencia 2018 con Cuadro de Mando V6..xlsx]Plan de Accion 2018'!#REF!,AE213&lt;&gt;"N/A"))</xm:f>
            <x14:dxf>
              <fill>
                <patternFill>
                  <bgColor indexed="10"/>
                </patternFill>
              </fill>
            </x14:dxf>
          </x14:cfRule>
          <xm:sqref>AE213</xm:sqref>
        </x14:conditionalFormatting>
        <x14:conditionalFormatting xmlns:xm="http://schemas.microsoft.com/office/excel/2006/main">
          <x14:cfRule type="expression" priority="16521" id="{408C7D2F-B156-4C88-B378-027BCB45C2E1}">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16522" stopIfTrue="1" id="{85306298-2628-4AD3-BA13-F4FBB73C7F0C}">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16523" stopIfTrue="1" id="{EBE77E88-A599-4C01-B17D-3AB8645AE6B0}">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16503" id="{0680CD96-50A9-4DD6-8F50-E1356F6C245C}">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16504" stopIfTrue="1" id="{B8A2F1E5-72D3-4CBE-B04E-CB1718EDE50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16505" stopIfTrue="1" id="{8DCCD01F-14E8-47D0-99C8-93299492517C}">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16457" id="{99FC07ED-8389-4A74-A464-1B1569B6A8D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16458" stopIfTrue="1" id="{91663BD4-7B57-4BB4-BF6E-9075B307E6D1}">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16459" stopIfTrue="1" id="{1C89EB68-6865-4266-BCA6-55F366DD8373}">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16419" id="{9C3E777F-BA06-4EC3-A789-3D8FD869499D}">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16420" stopIfTrue="1" id="{830C43C2-7D68-4712-AF97-FAF73B7B6A7E}">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16421" stopIfTrue="1" id="{52F54E9F-D93B-4ADF-99B3-BEAB79B18838}">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16401" id="{79A05394-E8AC-4DB3-926C-65B7F666203F}">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16402" stopIfTrue="1" id="{1ACB7936-2B14-415A-AEE5-0474FFA46B0B}">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16403" stopIfTrue="1" id="{82E007B0-362C-4E2A-8E03-866A332F6370}">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16337" id="{9C29FB0F-0B2D-446E-BEB5-FC760832676D}">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6338" stopIfTrue="1" id="{1873F67F-4383-42F1-B217-A3155BA16443}">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6339" stopIfTrue="1" id="{A2B6F062-8A87-4FAB-8089-2FB742082FD4}">
            <xm:f>AND(IF(J35&lt;'F:\Users\norela.briceno\Documents\Plan de acción\Plan Accion 2018\[Plan Accion Integrado ADRES Vigencia 2018 con Cuadro de Mando V6..xlsx]Plan de Accion 2018'!#REF!,J35&lt;&gt;"N/A"))</xm:f>
            <x14:dxf>
              <fill>
                <patternFill>
                  <bgColor indexed="10"/>
                </patternFill>
              </fill>
            </x14:dxf>
          </x14:cfRule>
          <xm:sqref>J35 Q35 AE35 X35</xm:sqref>
        </x14:conditionalFormatting>
        <x14:conditionalFormatting xmlns:xm="http://schemas.microsoft.com/office/excel/2006/main">
          <x14:cfRule type="expression" priority="16334" id="{1933BB16-4BA9-4239-9009-9CFBFC940FDD}">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6335" stopIfTrue="1" id="{1B248148-7348-4A6D-91E0-8BA3D96FDB9B}">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6336" stopIfTrue="1" id="{1C12151D-389C-485D-8D5A-F396266C289D}">
            <xm:f>AND(IF(J35&lt;'F:\Users\norela.briceno\Documents\Plan de acción\Plan Accion 2018\[Plan Accion Integrado ADRES Vigencia 2018 con Cuadro de Mando V6..xlsx]Plan de Accion 2018'!#REF!,J35&lt;&gt;"N/A"))</xm:f>
            <x14:dxf>
              <fill>
                <patternFill>
                  <bgColor indexed="10"/>
                </patternFill>
              </fill>
            </x14:dxf>
          </x14:cfRule>
          <xm:sqref>J35</xm:sqref>
        </x14:conditionalFormatting>
        <x14:conditionalFormatting xmlns:xm="http://schemas.microsoft.com/office/excel/2006/main">
          <x14:cfRule type="expression" priority="16331" id="{16E9F4F9-C180-4330-A551-6EF7DD63A7BE}">
            <xm:f>AND(IF(Q35&gt;'F:\Users\norela.briceno\Documents\Plan de acción\Plan Accion 2018\[Plan Accion Integrado ADRES Vigencia 2018 con Cuadro de Mando V6..xlsx]Plan de Accion 2018'!#REF!,Q35&lt;&gt;¨N/A¨))</xm:f>
            <x14:dxf>
              <fill>
                <patternFill>
                  <bgColor theme="1" tint="0.499984740745262"/>
                </patternFill>
              </fill>
            </x14:dxf>
          </x14:cfRule>
          <x14:cfRule type="expression" priority="16332" stopIfTrue="1" id="{E501AA27-9981-4FFE-8301-679F348E0194}">
            <xm:f>AND(IF(Q35='F:\Users\norela.briceno\Documents\Plan de acción\Plan Accion 2018\[Plan Accion Integrado ADRES Vigencia 2018 con Cuadro de Mando V6..xlsx]Plan de Accion 2018'!#REF!,Q35&lt;&gt;"N/A"))</xm:f>
            <x14:dxf>
              <fill>
                <patternFill>
                  <bgColor rgb="FF00B050"/>
                </patternFill>
              </fill>
            </x14:dxf>
          </x14:cfRule>
          <x14:cfRule type="expression" priority="16333" stopIfTrue="1" id="{DE9504CA-C42B-4EAF-BA09-5E004DB615A6}">
            <xm:f>AND(IF(Q35&lt;'F:\Users\norela.briceno\Documents\Plan de acción\Plan Accion 2018\[Plan Accion Integrado ADRES Vigencia 2018 con Cuadro de Mando V6..xlsx]Plan de Accion 2018'!#REF!,Q35&lt;&gt;"N/A"))</xm:f>
            <x14:dxf>
              <fill>
                <patternFill>
                  <bgColor indexed="10"/>
                </patternFill>
              </fill>
            </x14:dxf>
          </x14:cfRule>
          <xm:sqref>Q35</xm:sqref>
        </x14:conditionalFormatting>
        <x14:conditionalFormatting xmlns:xm="http://schemas.microsoft.com/office/excel/2006/main">
          <x14:cfRule type="expression" priority="16328" id="{71CD58D4-4755-4FD5-B6BC-57969B5244C6}">
            <xm:f>AND(IF(X35&gt;'F:\Users\norela.briceno\Documents\Plan de acción\Plan Accion 2018\[Plan Accion Integrado ADRES Vigencia 2018 con Cuadro de Mando V6..xlsx]Plan de Accion 2018'!#REF!,X35&lt;&gt;¨N/A¨))</xm:f>
            <x14:dxf>
              <fill>
                <patternFill>
                  <bgColor theme="1" tint="0.499984740745262"/>
                </patternFill>
              </fill>
            </x14:dxf>
          </x14:cfRule>
          <x14:cfRule type="expression" priority="16329" stopIfTrue="1" id="{1E7F536E-0558-47DD-85B2-A524C959C291}">
            <xm:f>AND(IF(X35='F:\Users\norela.briceno\Documents\Plan de acción\Plan Accion 2018\[Plan Accion Integrado ADRES Vigencia 2018 con Cuadro de Mando V6..xlsx]Plan de Accion 2018'!#REF!,X35&lt;&gt;"N/A"))</xm:f>
            <x14:dxf>
              <fill>
                <patternFill>
                  <bgColor rgb="FF00B050"/>
                </patternFill>
              </fill>
            </x14:dxf>
          </x14:cfRule>
          <x14:cfRule type="expression" priority="16330" stopIfTrue="1" id="{06AE82B7-D12A-48F1-965F-1CE262E31962}">
            <xm:f>AND(IF(X35&lt;'F:\Users\norela.briceno\Documents\Plan de acción\Plan Accion 2018\[Plan Accion Integrado ADRES Vigencia 2018 con Cuadro de Mando V6..xlsx]Plan de Accion 2018'!#REF!,X35&lt;&gt;"N/A"))</xm:f>
            <x14:dxf>
              <fill>
                <patternFill>
                  <bgColor indexed="10"/>
                </patternFill>
              </fill>
            </x14:dxf>
          </x14:cfRule>
          <xm:sqref>X35</xm:sqref>
        </x14:conditionalFormatting>
        <x14:conditionalFormatting xmlns:xm="http://schemas.microsoft.com/office/excel/2006/main">
          <x14:cfRule type="expression" priority="16325" id="{BFF1F75C-BE51-426D-9C45-44C64491C61D}">
            <xm:f>AND(IF(AE35&gt;'F:\Users\norela.briceno\Documents\Plan de acción\Plan Accion 2018\[Plan Accion Integrado ADRES Vigencia 2018 con Cuadro de Mando V6..xlsx]Plan de Accion 2018'!#REF!,AE35&lt;&gt;¨N/A¨))</xm:f>
            <x14:dxf>
              <fill>
                <patternFill>
                  <bgColor theme="1" tint="0.499984740745262"/>
                </patternFill>
              </fill>
            </x14:dxf>
          </x14:cfRule>
          <x14:cfRule type="expression" priority="16326" stopIfTrue="1" id="{C10594BC-505D-4FCC-9C74-A88DE349E45A}">
            <xm:f>AND(IF(AE35='F:\Users\norela.briceno\Documents\Plan de acción\Plan Accion 2018\[Plan Accion Integrado ADRES Vigencia 2018 con Cuadro de Mando V6..xlsx]Plan de Accion 2018'!#REF!,AE35&lt;&gt;"N/A"))</xm:f>
            <x14:dxf>
              <fill>
                <patternFill>
                  <bgColor rgb="FF00B050"/>
                </patternFill>
              </fill>
            </x14:dxf>
          </x14:cfRule>
          <x14:cfRule type="expression" priority="16327" stopIfTrue="1" id="{3D0BB5D9-7087-4259-A6F5-13C7F3B2080C}">
            <xm:f>AND(IF(AE35&lt;'F:\Users\norela.briceno\Documents\Plan de acción\Plan Accion 2018\[Plan Accion Integrado ADRES Vigencia 2018 con Cuadro de Mando V6..xlsx]Plan de Accion 2018'!#REF!,AE35&lt;&gt;"N/A"))</xm:f>
            <x14:dxf>
              <fill>
                <patternFill>
                  <bgColor indexed="10"/>
                </patternFill>
              </fill>
            </x14:dxf>
          </x14:cfRule>
          <xm:sqref>AE35</xm:sqref>
        </x14:conditionalFormatting>
        <x14:conditionalFormatting xmlns:xm="http://schemas.microsoft.com/office/excel/2006/main">
          <x14:cfRule type="expression" priority="16257" id="{E20C7DC8-9128-47B0-9602-63B6EA854A8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16258" stopIfTrue="1" id="{4F271666-CD96-478F-A188-4EFCF97C6B7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16259" stopIfTrue="1" id="{97452518-F7A1-43AB-8124-61352F946818}">
            <xm:f>AND(IF(J30&lt;'F:\Users\norela.briceno\Documents\Plan de acción\Plan Accion 2018\[Plan Accion Integrado ADRES Vigencia 2018 con Cuadro de Mando V6..xlsx]Plan de Accion 2018'!#REF!,J30&lt;&gt;"N/A"))</xm:f>
            <x14:dxf>
              <fill>
                <patternFill>
                  <bgColor indexed="10"/>
                </patternFill>
              </fill>
            </x14:dxf>
          </x14:cfRule>
          <xm:sqref>J30 Q30 AE30 X30 X32 AE32 Q32 J32</xm:sqref>
        </x14:conditionalFormatting>
        <x14:conditionalFormatting xmlns:xm="http://schemas.microsoft.com/office/excel/2006/main">
          <x14:cfRule type="expression" priority="16254" id="{BC8A87AA-DB99-4CD0-822D-E544782D6F4A}">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16255" stopIfTrue="1" id="{BBA65062-52EC-4D52-80F4-AE3C75A901E6}">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16256" stopIfTrue="1" id="{AAF82C5C-FCA9-4D62-B4E1-EAFB2148BD6E}">
            <xm:f>AND(IF(J30&lt;'F:\Users\norela.briceno\Documents\Plan de acción\Plan Accion 2018\[Plan Accion Integrado ADRES Vigencia 2018 con Cuadro de Mando V6..xlsx]Plan de Accion 2018'!#REF!,J30&lt;&gt;"N/A"))</xm:f>
            <x14:dxf>
              <fill>
                <patternFill>
                  <bgColor indexed="10"/>
                </patternFill>
              </fill>
            </x14:dxf>
          </x14:cfRule>
          <xm:sqref>J30 J32</xm:sqref>
        </x14:conditionalFormatting>
        <x14:conditionalFormatting xmlns:xm="http://schemas.microsoft.com/office/excel/2006/main">
          <x14:cfRule type="expression" priority="16251" id="{9DD4697C-03E2-4BA9-A91C-3ED55BB80409}">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16252" stopIfTrue="1" id="{01C37523-1723-457A-A7F5-4A5C6C533EFD}">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16253" stopIfTrue="1" id="{76FA6686-1DED-4B44-B570-6C9B51A3082B}">
            <xm:f>AND(IF(Q30&lt;'F:\Users\norela.briceno\Documents\Plan de acción\Plan Accion 2018\[Plan Accion Integrado ADRES Vigencia 2018 con Cuadro de Mando V6..xlsx]Plan de Accion 2018'!#REF!,Q30&lt;&gt;"N/A"))</xm:f>
            <x14:dxf>
              <fill>
                <patternFill>
                  <bgColor indexed="10"/>
                </patternFill>
              </fill>
            </x14:dxf>
          </x14:cfRule>
          <xm:sqref>Q30 Q32</xm:sqref>
        </x14:conditionalFormatting>
        <x14:conditionalFormatting xmlns:xm="http://schemas.microsoft.com/office/excel/2006/main">
          <x14:cfRule type="expression" priority="16248" id="{D4540D6A-5ABB-44D7-B3DA-A725D1E749C3}">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16249" stopIfTrue="1" id="{635A69A3-E736-4285-93F5-628A2EBA3204}">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16250" stopIfTrue="1" id="{45734FA6-B559-4971-B87C-81795C7EDA7A}">
            <xm:f>AND(IF(X30&lt;'F:\Users\norela.briceno\Documents\Plan de acción\Plan Accion 2018\[Plan Accion Integrado ADRES Vigencia 2018 con Cuadro de Mando V6..xlsx]Plan de Accion 2018'!#REF!,X30&lt;&gt;"N/A"))</xm:f>
            <x14:dxf>
              <fill>
                <patternFill>
                  <bgColor indexed="10"/>
                </patternFill>
              </fill>
            </x14:dxf>
          </x14:cfRule>
          <xm:sqref>X30 X32</xm:sqref>
        </x14:conditionalFormatting>
        <x14:conditionalFormatting xmlns:xm="http://schemas.microsoft.com/office/excel/2006/main">
          <x14:cfRule type="expression" priority="16245" id="{ECC63CF5-1657-4107-A58E-AEDA6CD731C2}">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16246" stopIfTrue="1" id="{01610812-E5C9-4D6B-A817-C31E144CB1FD}">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16247" stopIfTrue="1" id="{49543EB2-39D6-4E6B-B944-8630299DCA27}">
            <xm:f>AND(IF(AE30&lt;'F:\Users\norela.briceno\Documents\Plan de acción\Plan Accion 2018\[Plan Accion Integrado ADRES Vigencia 2018 con Cuadro de Mando V6..xlsx]Plan de Accion 2018'!#REF!,AE30&lt;&gt;"N/A"))</xm:f>
            <x14:dxf>
              <fill>
                <patternFill>
                  <bgColor indexed="10"/>
                </patternFill>
              </fill>
            </x14:dxf>
          </x14:cfRule>
          <xm:sqref>AE30 AE32</xm:sqref>
        </x14:conditionalFormatting>
        <x14:conditionalFormatting xmlns:xm="http://schemas.microsoft.com/office/excel/2006/main">
          <x14:cfRule type="expression" priority="16162" id="{68D95EDE-178F-4777-9718-314E45D333E7}">
            <xm:f>AND(IF(J61&gt;'F:\Users\norela.briceno\Documents\Plan de acción\Plan Accion 2018\[Plan Accion Integrado ADRES Vigencia 2018 con Cuadro de Mando V6..xlsx]Plan de Accion 2018'!#REF!,J61&lt;&gt;¨N/A¨))</xm:f>
            <x14:dxf>
              <fill>
                <patternFill>
                  <bgColor theme="1" tint="0.499984740745262"/>
                </patternFill>
              </fill>
            </x14:dxf>
          </x14:cfRule>
          <x14:cfRule type="expression" priority="16163" stopIfTrue="1" id="{E395AAEC-DCEB-4298-8185-DC97C0F64971}">
            <xm:f>AND(IF(J61='F:\Users\norela.briceno\Documents\Plan de acción\Plan Accion 2018\[Plan Accion Integrado ADRES Vigencia 2018 con Cuadro de Mando V6..xlsx]Plan de Accion 2018'!#REF!,J61&lt;&gt;"N/A"))</xm:f>
            <x14:dxf>
              <fill>
                <patternFill>
                  <bgColor rgb="FF00B050"/>
                </patternFill>
              </fill>
            </x14:dxf>
          </x14:cfRule>
          <x14:cfRule type="expression" priority="16164" stopIfTrue="1" id="{7516331E-E06E-4427-B07F-6C65BCC93C0B}">
            <xm:f>AND(IF(J61&lt;'F:\Users\norela.briceno\Documents\Plan de acción\Plan Accion 2018\[Plan Accion Integrado ADRES Vigencia 2018 con Cuadro de Mando V6..xlsx]Plan de Accion 2018'!#REF!,J61&lt;&gt;"N/A"))</xm:f>
            <x14:dxf>
              <fill>
                <patternFill>
                  <bgColor indexed="10"/>
                </patternFill>
              </fill>
            </x14:dxf>
          </x14:cfRule>
          <xm:sqref>J61 Q61 AE61 X61</xm:sqref>
        </x14:conditionalFormatting>
        <x14:conditionalFormatting xmlns:xm="http://schemas.microsoft.com/office/excel/2006/main">
          <x14:cfRule type="expression" priority="16159" id="{F317D4FE-06F6-4300-BAB2-0B43BF28486F}">
            <xm:f>AND(IF(J61&gt;'F:\Users\norela.briceno\Documents\Plan de acción\Plan Accion 2018\[Plan Accion Integrado ADRES Vigencia 2018 con Cuadro de Mando V6..xlsx]Plan de Accion 2018'!#REF!,J61&lt;&gt;¨N/A¨))</xm:f>
            <x14:dxf>
              <fill>
                <patternFill>
                  <bgColor theme="1" tint="0.499984740745262"/>
                </patternFill>
              </fill>
            </x14:dxf>
          </x14:cfRule>
          <x14:cfRule type="expression" priority="16160" stopIfTrue="1" id="{DDA90491-6209-459A-94B9-ABA46FFA6EE8}">
            <xm:f>AND(IF(J61='F:\Users\norela.briceno\Documents\Plan de acción\Plan Accion 2018\[Plan Accion Integrado ADRES Vigencia 2018 con Cuadro de Mando V6..xlsx]Plan de Accion 2018'!#REF!,J61&lt;&gt;"N/A"))</xm:f>
            <x14:dxf>
              <fill>
                <patternFill>
                  <bgColor rgb="FF00B050"/>
                </patternFill>
              </fill>
            </x14:dxf>
          </x14:cfRule>
          <x14:cfRule type="expression" priority="16161" stopIfTrue="1" id="{3758AB8D-2615-40E7-B735-2809FF287F7A}">
            <xm:f>AND(IF(J61&lt;'F:\Users\norela.briceno\Documents\Plan de acción\Plan Accion 2018\[Plan Accion Integrado ADRES Vigencia 2018 con Cuadro de Mando V6..xlsx]Plan de Accion 2018'!#REF!,J61&lt;&gt;"N/A"))</xm:f>
            <x14:dxf>
              <fill>
                <patternFill>
                  <bgColor indexed="10"/>
                </patternFill>
              </fill>
            </x14:dxf>
          </x14:cfRule>
          <xm:sqref>J61</xm:sqref>
        </x14:conditionalFormatting>
        <x14:conditionalFormatting xmlns:xm="http://schemas.microsoft.com/office/excel/2006/main">
          <x14:cfRule type="expression" priority="16156" id="{343A1453-2D63-4869-8361-2670121EECFC}">
            <xm:f>AND(IF(Q61&gt;'F:\Users\norela.briceno\Documents\Plan de acción\Plan Accion 2018\[Plan Accion Integrado ADRES Vigencia 2018 con Cuadro de Mando V6..xlsx]Plan de Accion 2018'!#REF!,Q61&lt;&gt;¨N/A¨))</xm:f>
            <x14:dxf>
              <fill>
                <patternFill>
                  <bgColor theme="1" tint="0.499984740745262"/>
                </patternFill>
              </fill>
            </x14:dxf>
          </x14:cfRule>
          <x14:cfRule type="expression" priority="16157" stopIfTrue="1" id="{AC41AEDF-FEB9-4ABB-8FC3-A81E4FDA4905}">
            <xm:f>AND(IF(Q61='F:\Users\norela.briceno\Documents\Plan de acción\Plan Accion 2018\[Plan Accion Integrado ADRES Vigencia 2018 con Cuadro de Mando V6..xlsx]Plan de Accion 2018'!#REF!,Q61&lt;&gt;"N/A"))</xm:f>
            <x14:dxf>
              <fill>
                <patternFill>
                  <bgColor rgb="FF00B050"/>
                </patternFill>
              </fill>
            </x14:dxf>
          </x14:cfRule>
          <x14:cfRule type="expression" priority="16158" stopIfTrue="1" id="{2A5E7A10-6468-45D9-ACAF-75FA1BB781B4}">
            <xm:f>AND(IF(Q61&lt;'F:\Users\norela.briceno\Documents\Plan de acción\Plan Accion 2018\[Plan Accion Integrado ADRES Vigencia 2018 con Cuadro de Mando V6..xlsx]Plan de Accion 2018'!#REF!,Q61&lt;&gt;"N/A"))</xm:f>
            <x14:dxf>
              <fill>
                <patternFill>
                  <bgColor indexed="10"/>
                </patternFill>
              </fill>
            </x14:dxf>
          </x14:cfRule>
          <xm:sqref>Q61</xm:sqref>
        </x14:conditionalFormatting>
        <x14:conditionalFormatting xmlns:xm="http://schemas.microsoft.com/office/excel/2006/main">
          <x14:cfRule type="expression" priority="16153" id="{A4B7E29C-0078-4E31-8CB5-2958E0997A6C}">
            <xm:f>AND(IF(X61&gt;'F:\Users\norela.briceno\Documents\Plan de acción\Plan Accion 2018\[Plan Accion Integrado ADRES Vigencia 2018 con Cuadro de Mando V6..xlsx]Plan de Accion 2018'!#REF!,X61&lt;&gt;¨N/A¨))</xm:f>
            <x14:dxf>
              <fill>
                <patternFill>
                  <bgColor theme="1" tint="0.499984740745262"/>
                </patternFill>
              </fill>
            </x14:dxf>
          </x14:cfRule>
          <x14:cfRule type="expression" priority="16154" stopIfTrue="1" id="{C80018D4-D9DE-422A-B86F-F5DC206DFE55}">
            <xm:f>AND(IF(X61='F:\Users\norela.briceno\Documents\Plan de acción\Plan Accion 2018\[Plan Accion Integrado ADRES Vigencia 2018 con Cuadro de Mando V6..xlsx]Plan de Accion 2018'!#REF!,X61&lt;&gt;"N/A"))</xm:f>
            <x14:dxf>
              <fill>
                <patternFill>
                  <bgColor rgb="FF00B050"/>
                </patternFill>
              </fill>
            </x14:dxf>
          </x14:cfRule>
          <x14:cfRule type="expression" priority="16155" stopIfTrue="1" id="{4D01DA17-530B-4325-9EC5-A7334EEE2BA3}">
            <xm:f>AND(IF(X61&lt;'F:\Users\norela.briceno\Documents\Plan de acción\Plan Accion 2018\[Plan Accion Integrado ADRES Vigencia 2018 con Cuadro de Mando V6..xlsx]Plan de Accion 2018'!#REF!,X61&lt;&gt;"N/A"))</xm:f>
            <x14:dxf>
              <fill>
                <patternFill>
                  <bgColor indexed="10"/>
                </patternFill>
              </fill>
            </x14:dxf>
          </x14:cfRule>
          <xm:sqref>X61</xm:sqref>
        </x14:conditionalFormatting>
        <x14:conditionalFormatting xmlns:xm="http://schemas.microsoft.com/office/excel/2006/main">
          <x14:cfRule type="expression" priority="16150" id="{C551DAEA-2227-41C3-B513-CEC165932429}">
            <xm:f>AND(IF(AE61&gt;'F:\Users\norela.briceno\Documents\Plan de acción\Plan Accion 2018\[Plan Accion Integrado ADRES Vigencia 2018 con Cuadro de Mando V6..xlsx]Plan de Accion 2018'!#REF!,AE61&lt;&gt;¨N/A¨))</xm:f>
            <x14:dxf>
              <fill>
                <patternFill>
                  <bgColor theme="1" tint="0.499984740745262"/>
                </patternFill>
              </fill>
            </x14:dxf>
          </x14:cfRule>
          <x14:cfRule type="expression" priority="16151" stopIfTrue="1" id="{9E5A2DB7-0E7F-4126-B148-A4CB24AB9D52}">
            <xm:f>AND(IF(AE61='F:\Users\norela.briceno\Documents\Plan de acción\Plan Accion 2018\[Plan Accion Integrado ADRES Vigencia 2018 con Cuadro de Mando V6..xlsx]Plan de Accion 2018'!#REF!,AE61&lt;&gt;"N/A"))</xm:f>
            <x14:dxf>
              <fill>
                <patternFill>
                  <bgColor rgb="FF00B050"/>
                </patternFill>
              </fill>
            </x14:dxf>
          </x14:cfRule>
          <x14:cfRule type="expression" priority="16152" stopIfTrue="1" id="{2A00B6F2-3FF3-4D52-BBAA-0773E3FBAF27}">
            <xm:f>AND(IF(AE61&lt;'F:\Users\norela.briceno\Documents\Plan de acción\Plan Accion 2018\[Plan Accion Integrado ADRES Vigencia 2018 con Cuadro de Mando V6..xlsx]Plan de Accion 2018'!#REF!,AE61&lt;&gt;"N/A"))</xm:f>
            <x14:dxf>
              <fill>
                <patternFill>
                  <bgColor indexed="10"/>
                </patternFill>
              </fill>
            </x14:dxf>
          </x14:cfRule>
          <xm:sqref>AE61</xm:sqref>
        </x14:conditionalFormatting>
        <x14:conditionalFormatting xmlns:xm="http://schemas.microsoft.com/office/excel/2006/main">
          <x14:cfRule type="expression" priority="16102" id="{54298840-0BEB-4994-87CB-BE5CB4B308AE}">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6103" stopIfTrue="1" id="{DA435023-C7B9-4E32-8202-3DEB503B1398}">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6104" stopIfTrue="1" id="{C4167C50-0F78-4352-BB3F-B63D92CABA9B}">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6099" id="{AAD0DC85-150F-4B74-82D0-2A4F478E1708}">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6100" stopIfTrue="1" id="{A8DB58C8-DD80-493E-BF3B-94081E0C79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6101" stopIfTrue="1" id="{39B30B29-16E3-431D-91F5-23D39EA6B961}">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6096" id="{5477ADCF-B6C9-4D7A-A8DA-332B83D915AC}">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6097" stopIfTrue="1" id="{C3A00E75-0339-4ACC-A896-9C3B2DE69F9F}">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6098" stopIfTrue="1" id="{2EEAC754-2805-4840-A205-56ED42D6ED8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6093" id="{5771593B-4B29-40C0-B146-A9D4C7485256}">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6094" stopIfTrue="1" id="{53019178-7A76-4612-A282-97C48C84CC0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6095" stopIfTrue="1" id="{8CFAE905-411E-4E1D-820A-E94A32AF104C}">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6090" id="{18C0EC46-D2EF-47E1-885E-4B7766901B85}">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6091" stopIfTrue="1" id="{BF13FC0D-424C-44ED-BC67-F79E536EE9A7}">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6092" stopIfTrue="1" id="{0158599C-BDA2-4664-90F7-0C9362CFCE23}">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5590" id="{D1CC3B4C-B84E-4E8F-9530-290E50D09CC1}">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591" stopIfTrue="1" id="{06A18C40-FFB8-40A5-93D2-5B384EE73237}">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592" stopIfTrue="1" id="{5AE77F3B-C11E-41C9-B1C5-7CBDB3656667}">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5587" id="{C201ED86-99EA-4BFF-98D3-106DB846B3D1}">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588" stopIfTrue="1" id="{835F2232-4300-4147-BE64-49731700D3A2}">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589" stopIfTrue="1" id="{79820CF9-C510-4128-999A-7624E3EA41A0}">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5584" id="{2CC2A538-F306-4325-8066-51DD9F9F99F0}">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5585" stopIfTrue="1" id="{579741F0-9B9A-4124-A43A-04A79264F07A}">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5586" stopIfTrue="1" id="{AA69AD75-F833-4AD2-B434-75956ECE1187}">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5581" id="{7DAE7C3B-388C-4046-8373-756425979C8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5582" stopIfTrue="1" id="{6535CB50-07AD-41FB-852D-C8D8CD1FD623}">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5583" stopIfTrue="1" id="{8C29E584-1D46-4706-AA0D-75C9FC08A018}">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5578" id="{0FD65569-E64E-4AC7-9681-CFF04F31C8A5}">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5579" stopIfTrue="1" id="{73794AD4-08B5-4671-BBFF-EE398A549A87}">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5580" stopIfTrue="1" id="{D5DDCDC7-B3BA-4A43-AF6D-19EEC71C2B5E}">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5525" id="{CD3A6A47-ABB8-4AC6-925E-6341CCFFEF23}">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5526" stopIfTrue="1" id="{0E84F491-38F0-48EB-9F04-E56118051729}">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5527" stopIfTrue="1" id="{32B9CF14-8ACB-4660-8585-E588C11733FC}">
            <xm:f>AND(IF(J43&lt;'F:\Users\norela.briceno\Documents\Plan de acción\Plan Accion 2018\[Plan Accion Integrado ADRES Vigencia 2018 con Cuadro de Mando V6..xlsx]Plan de Accion 2018'!#REF!,J43&lt;&gt;"N/A"))</xm:f>
            <x14:dxf>
              <fill>
                <patternFill>
                  <bgColor indexed="10"/>
                </patternFill>
              </fill>
            </x14:dxf>
          </x14:cfRule>
          <xm:sqref>J43 Q43 AE43 X43 J48 Q48 X48 AE48 J50 Q50 X50 AE50 J54 Q54 X54 AE54</xm:sqref>
        </x14:conditionalFormatting>
        <x14:conditionalFormatting xmlns:xm="http://schemas.microsoft.com/office/excel/2006/main">
          <x14:cfRule type="expression" priority="15522" id="{CD5A2906-39C5-48A7-B482-DB1394C10E54}">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5523" stopIfTrue="1" id="{829C1036-2019-4E8F-833A-6AB367816340}">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5524" stopIfTrue="1" id="{A1A91FAA-886F-4D34-A2F7-90822DAF70F0}">
            <xm:f>AND(IF(J43&lt;'F:\Users\norela.briceno\Documents\Plan de acción\Plan Accion 2018\[Plan Accion Integrado ADRES Vigencia 2018 con Cuadro de Mando V6..xlsx]Plan de Accion 2018'!#REF!,J43&lt;&gt;"N/A"))</xm:f>
            <x14:dxf>
              <fill>
                <patternFill>
                  <bgColor indexed="10"/>
                </patternFill>
              </fill>
            </x14:dxf>
          </x14:cfRule>
          <xm:sqref>J43 J48 J50 J54</xm:sqref>
        </x14:conditionalFormatting>
        <x14:conditionalFormatting xmlns:xm="http://schemas.microsoft.com/office/excel/2006/main">
          <x14:cfRule type="expression" priority="15519" id="{B3914C2E-6C48-47FD-A6E2-339A66522AC1}">
            <xm:f>AND(IF(Q43&gt;'F:\Users\norela.briceno\Documents\Plan de acción\Plan Accion 2018\[Plan Accion Integrado ADRES Vigencia 2018 con Cuadro de Mando V6..xlsx]Plan de Accion 2018'!#REF!,Q43&lt;&gt;¨N/A¨))</xm:f>
            <x14:dxf>
              <fill>
                <patternFill>
                  <bgColor theme="1" tint="0.499984740745262"/>
                </patternFill>
              </fill>
            </x14:dxf>
          </x14:cfRule>
          <x14:cfRule type="expression" priority="15520" stopIfTrue="1" id="{E4109FC0-8421-438B-9FB5-C866B0684741}">
            <xm:f>AND(IF(Q43='F:\Users\norela.briceno\Documents\Plan de acción\Plan Accion 2018\[Plan Accion Integrado ADRES Vigencia 2018 con Cuadro de Mando V6..xlsx]Plan de Accion 2018'!#REF!,Q43&lt;&gt;"N/A"))</xm:f>
            <x14:dxf>
              <fill>
                <patternFill>
                  <bgColor rgb="FF00B050"/>
                </patternFill>
              </fill>
            </x14:dxf>
          </x14:cfRule>
          <x14:cfRule type="expression" priority="15521" stopIfTrue="1" id="{33BD8AB4-AE62-459F-898E-56CDD7FCE8E9}">
            <xm:f>AND(IF(Q43&lt;'F:\Users\norela.briceno\Documents\Plan de acción\Plan Accion 2018\[Plan Accion Integrado ADRES Vigencia 2018 con Cuadro de Mando V6..xlsx]Plan de Accion 2018'!#REF!,Q43&lt;&gt;"N/A"))</xm:f>
            <x14:dxf>
              <fill>
                <patternFill>
                  <bgColor indexed="10"/>
                </patternFill>
              </fill>
            </x14:dxf>
          </x14:cfRule>
          <xm:sqref>Q43 Q48 Q50 Q54</xm:sqref>
        </x14:conditionalFormatting>
        <x14:conditionalFormatting xmlns:xm="http://schemas.microsoft.com/office/excel/2006/main">
          <x14:cfRule type="expression" priority="15516" id="{9822719E-A25D-404E-ADF0-B277F020D032}">
            <xm:f>AND(IF(X43&gt;'F:\Users\norela.briceno\Documents\Plan de acción\Plan Accion 2018\[Plan Accion Integrado ADRES Vigencia 2018 con Cuadro de Mando V6..xlsx]Plan de Accion 2018'!#REF!,X43&lt;&gt;¨N/A¨))</xm:f>
            <x14:dxf>
              <fill>
                <patternFill>
                  <bgColor theme="1" tint="0.499984740745262"/>
                </patternFill>
              </fill>
            </x14:dxf>
          </x14:cfRule>
          <x14:cfRule type="expression" priority="15517" stopIfTrue="1" id="{ECA9F347-20BA-4093-9017-D836D4FA305C}">
            <xm:f>AND(IF(X43='F:\Users\norela.briceno\Documents\Plan de acción\Plan Accion 2018\[Plan Accion Integrado ADRES Vigencia 2018 con Cuadro de Mando V6..xlsx]Plan de Accion 2018'!#REF!,X43&lt;&gt;"N/A"))</xm:f>
            <x14:dxf>
              <fill>
                <patternFill>
                  <bgColor rgb="FF00B050"/>
                </patternFill>
              </fill>
            </x14:dxf>
          </x14:cfRule>
          <x14:cfRule type="expression" priority="15518" stopIfTrue="1" id="{2C90F970-7C4A-404B-9C5E-817E21E2DCB9}">
            <xm:f>AND(IF(X43&lt;'F:\Users\norela.briceno\Documents\Plan de acción\Plan Accion 2018\[Plan Accion Integrado ADRES Vigencia 2018 con Cuadro de Mando V6..xlsx]Plan de Accion 2018'!#REF!,X43&lt;&gt;"N/A"))</xm:f>
            <x14:dxf>
              <fill>
                <patternFill>
                  <bgColor indexed="10"/>
                </patternFill>
              </fill>
            </x14:dxf>
          </x14:cfRule>
          <xm:sqref>X43 X48 X50 X54</xm:sqref>
        </x14:conditionalFormatting>
        <x14:conditionalFormatting xmlns:xm="http://schemas.microsoft.com/office/excel/2006/main">
          <x14:cfRule type="expression" priority="15513" id="{983117DF-D5A9-49B6-AB91-63F276AD2298}">
            <xm:f>AND(IF(AE43&gt;'F:\Users\norela.briceno\Documents\Plan de acción\Plan Accion 2018\[Plan Accion Integrado ADRES Vigencia 2018 con Cuadro de Mando V6..xlsx]Plan de Accion 2018'!#REF!,AE43&lt;&gt;¨N/A¨))</xm:f>
            <x14:dxf>
              <fill>
                <patternFill>
                  <bgColor theme="1" tint="0.499984740745262"/>
                </patternFill>
              </fill>
            </x14:dxf>
          </x14:cfRule>
          <x14:cfRule type="expression" priority="15514" stopIfTrue="1" id="{EE4374FD-E8C1-42FE-9F6A-A0183579C92C}">
            <xm:f>AND(IF(AE43='F:\Users\norela.briceno\Documents\Plan de acción\Plan Accion 2018\[Plan Accion Integrado ADRES Vigencia 2018 con Cuadro de Mando V6..xlsx]Plan de Accion 2018'!#REF!,AE43&lt;&gt;"N/A"))</xm:f>
            <x14:dxf>
              <fill>
                <patternFill>
                  <bgColor rgb="FF00B050"/>
                </patternFill>
              </fill>
            </x14:dxf>
          </x14:cfRule>
          <x14:cfRule type="expression" priority="15515" stopIfTrue="1" id="{CE0C1EFE-BB9B-437C-8888-A2D994E15CA0}">
            <xm:f>AND(IF(AE43&lt;'F:\Users\norela.briceno\Documents\Plan de acción\Plan Accion 2018\[Plan Accion Integrado ADRES Vigencia 2018 con Cuadro de Mando V6..xlsx]Plan de Accion 2018'!#REF!,AE43&lt;&gt;"N/A"))</xm:f>
            <x14:dxf>
              <fill>
                <patternFill>
                  <bgColor indexed="10"/>
                </patternFill>
              </fill>
            </x14:dxf>
          </x14:cfRule>
          <xm:sqref>AE43 AE48 AE50 AE54</xm:sqref>
        </x14:conditionalFormatting>
        <x14:conditionalFormatting xmlns:xm="http://schemas.microsoft.com/office/excel/2006/main">
          <x14:cfRule type="expression" priority="15460" id="{0DC2CD72-EB77-414D-A455-EA57CD891D99}">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461" stopIfTrue="1" id="{10AF2373-CC5F-4B02-AF78-ABBB38537DE3}">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462" stopIfTrue="1" id="{357C4298-8611-49B6-ADD9-D576619E0185}">
            <xm:f>AND(IF(J42&lt;'F:\Users\norela.briceno\Documents\Plan de acción\Plan Accion 2018\[Plan Accion Integrado ADRES Vigencia 2018 con Cuadro de Mando V6..xlsx]Plan de Accion 2018'!#REF!,J42&lt;&gt;"N/A"))</xm:f>
            <x14:dxf>
              <fill>
                <patternFill>
                  <bgColor indexed="10"/>
                </patternFill>
              </fill>
            </x14:dxf>
          </x14:cfRule>
          <xm:sqref>J42 Q42 AE42 X42</xm:sqref>
        </x14:conditionalFormatting>
        <x14:conditionalFormatting xmlns:xm="http://schemas.microsoft.com/office/excel/2006/main">
          <x14:cfRule type="expression" priority="15457" id="{6FAEF737-A578-440B-B688-D95D2181042C}">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458" stopIfTrue="1" id="{85BECCC9-2307-471A-9004-B19B03D61CFA}">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459" stopIfTrue="1" id="{02B93B50-1043-45E4-9248-B3261EB228BB}">
            <xm:f>AND(IF(J42&lt;'F:\Users\norela.briceno\Documents\Plan de acción\Plan Accion 2018\[Plan Accion Integrado ADRES Vigencia 2018 con Cuadro de Mando V6..xlsx]Plan de Accion 2018'!#REF!,J42&lt;&gt;"N/A"))</xm:f>
            <x14:dxf>
              <fill>
                <patternFill>
                  <bgColor indexed="10"/>
                </patternFill>
              </fill>
            </x14:dxf>
          </x14:cfRule>
          <xm:sqref>J42</xm:sqref>
        </x14:conditionalFormatting>
        <x14:conditionalFormatting xmlns:xm="http://schemas.microsoft.com/office/excel/2006/main">
          <x14:cfRule type="expression" priority="15454" id="{E3885FA0-90DA-46A1-9B19-6D5AEFD56BC3}">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5455" stopIfTrue="1" id="{09969D9F-E5D3-41BD-8B5F-B49EEC3340E9}">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5456" stopIfTrue="1" id="{84C45A23-FE03-457D-8C16-AFCD44DA38D3}">
            <xm:f>AND(IF(Q42&lt;'F:\Users\norela.briceno\Documents\Plan de acción\Plan Accion 2018\[Plan Accion Integrado ADRES Vigencia 2018 con Cuadro de Mando V6..xlsx]Plan de Accion 2018'!#REF!,Q42&lt;&gt;"N/A"))</xm:f>
            <x14:dxf>
              <fill>
                <patternFill>
                  <bgColor indexed="10"/>
                </patternFill>
              </fill>
            </x14:dxf>
          </x14:cfRule>
          <xm:sqref>Q42</xm:sqref>
        </x14:conditionalFormatting>
        <x14:conditionalFormatting xmlns:xm="http://schemas.microsoft.com/office/excel/2006/main">
          <x14:cfRule type="expression" priority="15451" id="{7C2AC617-61CC-473F-8128-97520C63F856}">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5452" stopIfTrue="1" id="{58A4AEFA-9011-408B-826E-8F545023FAAE}">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5453" stopIfTrue="1" id="{4141D14D-CC83-43C3-81D8-1851608665FD}">
            <xm:f>AND(IF(X42&lt;'F:\Users\norela.briceno\Documents\Plan de acción\Plan Accion 2018\[Plan Accion Integrado ADRES Vigencia 2018 con Cuadro de Mando V6..xlsx]Plan de Accion 2018'!#REF!,X42&lt;&gt;"N/A"))</xm:f>
            <x14:dxf>
              <fill>
                <patternFill>
                  <bgColor indexed="10"/>
                </patternFill>
              </fill>
            </x14:dxf>
          </x14:cfRule>
          <xm:sqref>X42</xm:sqref>
        </x14:conditionalFormatting>
        <x14:conditionalFormatting xmlns:xm="http://schemas.microsoft.com/office/excel/2006/main">
          <x14:cfRule type="expression" priority="15448" id="{2B819D09-4389-40C3-B990-03035C98CDA1}">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5449" stopIfTrue="1" id="{C12A55F3-2DAF-4C59-8C1A-FA2A091F8E9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5450" stopIfTrue="1" id="{72C33960-58E4-4118-9482-E342DA2B0545}">
            <xm:f>AND(IF(AE42&lt;'F:\Users\norela.briceno\Documents\Plan de acción\Plan Accion 2018\[Plan Accion Integrado ADRES Vigencia 2018 con Cuadro de Mando V6..xlsx]Plan de Accion 2018'!#REF!,AE42&lt;&gt;"N/A"))</xm:f>
            <x14:dxf>
              <fill>
                <patternFill>
                  <bgColor indexed="10"/>
                </patternFill>
              </fill>
            </x14:dxf>
          </x14:cfRule>
          <xm:sqref>AE42</xm:sqref>
        </x14:conditionalFormatting>
        <x14:conditionalFormatting xmlns:xm="http://schemas.microsoft.com/office/excel/2006/main">
          <x14:cfRule type="expression" priority="15395" id="{F912145C-40F5-44C5-86B3-D54497FEE1FD}">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5396" stopIfTrue="1" id="{AAE75C81-0DED-49B0-8290-56C58D38E38B}">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5397" stopIfTrue="1" id="{B01AF5D2-4262-4204-8F8E-617B14E6AC7C}">
            <xm:f>AND(IF(J59&lt;'F:\Users\norela.briceno\Documents\Plan de acción\Plan Accion 2018\[Plan Accion Integrado ADRES Vigencia 2018 con Cuadro de Mando V6..xlsx]Plan de Accion 2018'!#REF!,J59&lt;&gt;"N/A"))</xm:f>
            <x14:dxf>
              <fill>
                <patternFill>
                  <bgColor indexed="10"/>
                </patternFill>
              </fill>
            </x14:dxf>
          </x14:cfRule>
          <xm:sqref>J59:J60 Q59:Q60 X59:X60 AE59:AE60</xm:sqref>
        </x14:conditionalFormatting>
        <x14:conditionalFormatting xmlns:xm="http://schemas.microsoft.com/office/excel/2006/main">
          <x14:cfRule type="expression" priority="15392" id="{C8CE10D7-BB85-4E22-9797-FEA40DDB3694}">
            <xm:f>AND(IF(J59&gt;'F:\Users\norela.briceno\Documents\Plan de acción\Plan Accion 2018\[Plan Accion Integrado ADRES Vigencia 2018 con Cuadro de Mando V6..xlsx]Plan de Accion 2018'!#REF!,J59&lt;&gt;¨N/A¨))</xm:f>
            <x14:dxf>
              <fill>
                <patternFill>
                  <bgColor theme="1" tint="0.499984740745262"/>
                </patternFill>
              </fill>
            </x14:dxf>
          </x14:cfRule>
          <x14:cfRule type="expression" priority="15393" stopIfTrue="1" id="{4D0A659C-F7A9-494A-86C7-5B862809579D}">
            <xm:f>AND(IF(J59='F:\Users\norela.briceno\Documents\Plan de acción\Plan Accion 2018\[Plan Accion Integrado ADRES Vigencia 2018 con Cuadro de Mando V6..xlsx]Plan de Accion 2018'!#REF!,J59&lt;&gt;"N/A"))</xm:f>
            <x14:dxf>
              <fill>
                <patternFill>
                  <bgColor rgb="FF00B050"/>
                </patternFill>
              </fill>
            </x14:dxf>
          </x14:cfRule>
          <x14:cfRule type="expression" priority="15394" stopIfTrue="1" id="{CB48F9A7-0FD1-4AA9-9517-8C0833F27595}">
            <xm:f>AND(IF(J59&lt;'F:\Users\norela.briceno\Documents\Plan de acción\Plan Accion 2018\[Plan Accion Integrado ADRES Vigencia 2018 con Cuadro de Mando V6..xlsx]Plan de Accion 2018'!#REF!,J59&lt;&gt;"N/A"))</xm:f>
            <x14:dxf>
              <fill>
                <patternFill>
                  <bgColor indexed="10"/>
                </patternFill>
              </fill>
            </x14:dxf>
          </x14:cfRule>
          <xm:sqref>J59:J60</xm:sqref>
        </x14:conditionalFormatting>
        <x14:conditionalFormatting xmlns:xm="http://schemas.microsoft.com/office/excel/2006/main">
          <x14:cfRule type="expression" priority="15389" id="{2AEBFB92-8CF5-4508-804E-990696FDC32E}">
            <xm:f>AND(IF(Q59&gt;'F:\Users\norela.briceno\Documents\Plan de acción\Plan Accion 2018\[Plan Accion Integrado ADRES Vigencia 2018 con Cuadro de Mando V6..xlsx]Plan de Accion 2018'!#REF!,Q59&lt;&gt;¨N/A¨))</xm:f>
            <x14:dxf>
              <fill>
                <patternFill>
                  <bgColor theme="1" tint="0.499984740745262"/>
                </patternFill>
              </fill>
            </x14:dxf>
          </x14:cfRule>
          <x14:cfRule type="expression" priority="15390" stopIfTrue="1" id="{FAE9FED6-2CE3-4952-ABCF-9318724C8045}">
            <xm:f>AND(IF(Q59='F:\Users\norela.briceno\Documents\Plan de acción\Plan Accion 2018\[Plan Accion Integrado ADRES Vigencia 2018 con Cuadro de Mando V6..xlsx]Plan de Accion 2018'!#REF!,Q59&lt;&gt;"N/A"))</xm:f>
            <x14:dxf>
              <fill>
                <patternFill>
                  <bgColor rgb="FF00B050"/>
                </patternFill>
              </fill>
            </x14:dxf>
          </x14:cfRule>
          <x14:cfRule type="expression" priority="15391" stopIfTrue="1" id="{FA3AC104-0167-4355-8A6D-4D3C5B55D4B8}">
            <xm:f>AND(IF(Q59&lt;'F:\Users\norela.briceno\Documents\Plan de acción\Plan Accion 2018\[Plan Accion Integrado ADRES Vigencia 2018 con Cuadro de Mando V6..xlsx]Plan de Accion 2018'!#REF!,Q59&lt;&gt;"N/A"))</xm:f>
            <x14:dxf>
              <fill>
                <patternFill>
                  <bgColor indexed="10"/>
                </patternFill>
              </fill>
            </x14:dxf>
          </x14:cfRule>
          <xm:sqref>Q59:Q60</xm:sqref>
        </x14:conditionalFormatting>
        <x14:conditionalFormatting xmlns:xm="http://schemas.microsoft.com/office/excel/2006/main">
          <x14:cfRule type="expression" priority="15386" id="{E4F2DE0E-301E-4293-A52F-0F71DF0398BD}">
            <xm:f>AND(IF(X59&gt;'F:\Users\norela.briceno\Documents\Plan de acción\Plan Accion 2018\[Plan Accion Integrado ADRES Vigencia 2018 con Cuadro de Mando V6..xlsx]Plan de Accion 2018'!#REF!,X59&lt;&gt;¨N/A¨))</xm:f>
            <x14:dxf>
              <fill>
                <patternFill>
                  <bgColor theme="1" tint="0.499984740745262"/>
                </patternFill>
              </fill>
            </x14:dxf>
          </x14:cfRule>
          <x14:cfRule type="expression" priority="15387" stopIfTrue="1" id="{6DFFFA9F-823C-4117-9B99-9EBE98326E4F}">
            <xm:f>AND(IF(X59='F:\Users\norela.briceno\Documents\Plan de acción\Plan Accion 2018\[Plan Accion Integrado ADRES Vigencia 2018 con Cuadro de Mando V6..xlsx]Plan de Accion 2018'!#REF!,X59&lt;&gt;"N/A"))</xm:f>
            <x14:dxf>
              <fill>
                <patternFill>
                  <bgColor rgb="FF00B050"/>
                </patternFill>
              </fill>
            </x14:dxf>
          </x14:cfRule>
          <x14:cfRule type="expression" priority="15388" stopIfTrue="1" id="{298C3704-9483-4C8C-8827-F91C7352827C}">
            <xm:f>AND(IF(X59&lt;'F:\Users\norela.briceno\Documents\Plan de acción\Plan Accion 2018\[Plan Accion Integrado ADRES Vigencia 2018 con Cuadro de Mando V6..xlsx]Plan de Accion 2018'!#REF!,X59&lt;&gt;"N/A"))</xm:f>
            <x14:dxf>
              <fill>
                <patternFill>
                  <bgColor indexed="10"/>
                </patternFill>
              </fill>
            </x14:dxf>
          </x14:cfRule>
          <xm:sqref>X59:X60</xm:sqref>
        </x14:conditionalFormatting>
        <x14:conditionalFormatting xmlns:xm="http://schemas.microsoft.com/office/excel/2006/main">
          <x14:cfRule type="expression" priority="15383" id="{27C4B1C2-5212-4F56-A93F-63776A3226F3}">
            <xm:f>AND(IF(AE59&gt;'F:\Users\norela.briceno\Documents\Plan de acción\Plan Accion 2018\[Plan Accion Integrado ADRES Vigencia 2018 con Cuadro de Mando V6..xlsx]Plan de Accion 2018'!#REF!,AE59&lt;&gt;¨N/A¨))</xm:f>
            <x14:dxf>
              <fill>
                <patternFill>
                  <bgColor theme="1" tint="0.499984740745262"/>
                </patternFill>
              </fill>
            </x14:dxf>
          </x14:cfRule>
          <x14:cfRule type="expression" priority="15384" stopIfTrue="1" id="{47242C76-4D32-482F-A53F-F5734F566E0E}">
            <xm:f>AND(IF(AE59='F:\Users\norela.briceno\Documents\Plan de acción\Plan Accion 2018\[Plan Accion Integrado ADRES Vigencia 2018 con Cuadro de Mando V6..xlsx]Plan de Accion 2018'!#REF!,AE59&lt;&gt;"N/A"))</xm:f>
            <x14:dxf>
              <fill>
                <patternFill>
                  <bgColor rgb="FF00B050"/>
                </patternFill>
              </fill>
            </x14:dxf>
          </x14:cfRule>
          <x14:cfRule type="expression" priority="15385" stopIfTrue="1" id="{580B687B-0BF3-4270-B166-D3B6C0D3D483}">
            <xm:f>AND(IF(AE59&lt;'F:\Users\norela.briceno\Documents\Plan de acción\Plan Accion 2018\[Plan Accion Integrado ADRES Vigencia 2018 con Cuadro de Mando V6..xlsx]Plan de Accion 2018'!#REF!,AE59&lt;&gt;"N/A"))</xm:f>
            <x14:dxf>
              <fill>
                <patternFill>
                  <bgColor indexed="10"/>
                </patternFill>
              </fill>
            </x14:dxf>
          </x14:cfRule>
          <xm:sqref>AE59:AE60</xm:sqref>
        </x14:conditionalFormatting>
        <x14:conditionalFormatting xmlns:xm="http://schemas.microsoft.com/office/excel/2006/main">
          <x14:cfRule type="expression" priority="15045" id="{84D42019-0F45-4A27-9D69-610E6BC18D10}">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15046" stopIfTrue="1" id="{35CDD236-6341-44FD-9971-B7ADF6D973E7}">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15047" stopIfTrue="1" id="{6231B713-CC2E-4B3C-A101-D996861CA843}">
            <xm:f>AND(IF(J245&lt;'F:\Users\norela.briceno\Documents\Plan de acción\Plan Accion 2018\[Plan Accion Integrado ADRES Vigencia 2018 con Cuadro de Mando V6..xlsx]Plan de Accion 2018'!#REF!,J245&lt;&gt;"N/A"))</xm:f>
            <x14:dxf>
              <fill>
                <patternFill>
                  <bgColor indexed="10"/>
                </patternFill>
              </fill>
            </x14:dxf>
          </x14:cfRule>
          <xm:sqref>J245 Q245 X245 AE245</xm:sqref>
        </x14:conditionalFormatting>
        <x14:conditionalFormatting xmlns:xm="http://schemas.microsoft.com/office/excel/2006/main">
          <x14:cfRule type="expression" priority="14987" id="{64ED3E82-69EB-4FE2-A88C-5B3AA6947D88}">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14988" stopIfTrue="1" id="{72BD0372-F372-41EC-9885-D5BDD717896A}">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14989" stopIfTrue="1" id="{1B204EF3-61D0-4CDC-8ABD-B900A9E17DDE}">
            <xm:f>AND(IF(J246&lt;'F:\Users\norela.briceno\Documents\Plan de acción\Plan Accion 2018\[Plan Accion Integrado ADRES Vigencia 2018 con Cuadro de Mando V6..xlsx]Plan de Accion 2018'!#REF!,J246&lt;&gt;"N/A"))</xm:f>
            <x14:dxf>
              <fill>
                <patternFill>
                  <bgColor indexed="10"/>
                </patternFill>
              </fill>
            </x14:dxf>
          </x14:cfRule>
          <xm:sqref>J246 Q246 X246 AE246</xm:sqref>
        </x14:conditionalFormatting>
        <x14:conditionalFormatting xmlns:xm="http://schemas.microsoft.com/office/excel/2006/main">
          <x14:cfRule type="expression" priority="14639" id="{CA2B5940-510B-4440-915F-9B413FF0688D}">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14640" stopIfTrue="1" id="{F54094FC-C09C-44CC-97E5-6629B5AD2B8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14641" stopIfTrue="1" id="{DF32A529-F652-4DD2-801F-E65D7667DADC}">
            <xm:f>AND(IF(J257&lt;'F:\Users\norela.briceno\Documents\Plan de acción\Plan Accion 2018\[Plan Accion Integrado ADRES Vigencia 2018 con Cuadro de Mando V6..xlsx]Plan de Accion 2018'!#REF!,J257&lt;&gt;"N/A"))</xm:f>
            <x14:dxf>
              <fill>
                <patternFill>
                  <bgColor indexed="10"/>
                </patternFill>
              </fill>
            </x14:dxf>
          </x14:cfRule>
          <xm:sqref>J257 Q257 X257 AE257</xm:sqref>
        </x14:conditionalFormatting>
        <x14:conditionalFormatting xmlns:xm="http://schemas.microsoft.com/office/excel/2006/main">
          <x14:cfRule type="expression" priority="14601" id="{56C0F5E0-D1E3-42A4-9E9A-30636DA5545D}">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602" stopIfTrue="1" id="{D6EFE195-4FFD-4177-8AD9-2650950B3102}">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603" stopIfTrue="1" id="{015840C4-44BC-480D-BB70-85D4C31A041D}">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4598" id="{386EE220-C729-4D69-B2BA-77FB85067610}">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599" stopIfTrue="1" id="{9E4BAF48-B226-4060-A2B2-D4D01B2D47B1}">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600" stopIfTrue="1" id="{A18D8C3E-4E4C-4A9F-9886-ACC77CF26B37}">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4595" id="{B19EF24B-94D7-41E4-A2EE-44ACC1972D4B}">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4596" stopIfTrue="1" id="{7D42F99B-D33D-4904-9943-D552AC1C4C7B}">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4597" stopIfTrue="1" id="{4E1A9FFA-F5E8-4CAB-A1C2-466BDCF2913C}">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4592" id="{5947F36A-9A32-4C1D-A88B-E49B1B8B82DC}">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4593" stopIfTrue="1" id="{691B70C9-B7D4-4346-8DC2-1CAD03113665}">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4594" stopIfTrue="1" id="{ACB5EE29-E181-465B-BDA0-686DC8563147}">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4589" id="{2541FD96-C574-476E-AA6B-A5B2A9E5EF6D}">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4590" stopIfTrue="1" id="{6D3A43E1-D57D-49A1-9660-F41C57A2C899}">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4591" stopIfTrue="1" id="{4D70B40A-54FB-4278-802A-F4B26C1D1DBF}">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4488" id="{240D181E-B548-4DA5-9F36-9CF07150F9E5}">
            <xm:f>AND(IF(J68&gt;'F:\Users\norela.briceno\Documents\Plan de acción\Plan Accion 2018\[Plan Accion Integrado ADRES Vigencia 2018 con Cuadro de Mando V6..xlsx]Plan de Accion 2018'!#REF!,J68&lt;&gt;¨N/A¨))</xm:f>
            <x14:dxf>
              <fill>
                <patternFill>
                  <bgColor theme="1" tint="0.499984740745262"/>
                </patternFill>
              </fill>
            </x14:dxf>
          </x14:cfRule>
          <x14:cfRule type="expression" priority="14489" stopIfTrue="1" id="{AA3F16C3-5B3B-4704-BD3E-422F66E89EB9}">
            <xm:f>AND(IF(J68='F:\Users\norela.briceno\Documents\Plan de acción\Plan Accion 2018\[Plan Accion Integrado ADRES Vigencia 2018 con Cuadro de Mando V6..xlsx]Plan de Accion 2018'!#REF!,J68&lt;&gt;"N/A"))</xm:f>
            <x14:dxf>
              <fill>
                <patternFill>
                  <bgColor rgb="FF00B050"/>
                </patternFill>
              </fill>
            </x14:dxf>
          </x14:cfRule>
          <x14:cfRule type="expression" priority="14490" stopIfTrue="1" id="{3A080ABC-5441-41BF-A0AE-627B24E59653}">
            <xm:f>AND(IF(J68&lt;'F:\Users\norela.briceno\Documents\Plan de acción\Plan Accion 2018\[Plan Accion Integrado ADRES Vigencia 2018 con Cuadro de Mando V6..xlsx]Plan de Accion 2018'!#REF!,J68&lt;&gt;"N/A"))</xm:f>
            <x14:dxf>
              <fill>
                <patternFill>
                  <bgColor indexed="10"/>
                </patternFill>
              </fill>
            </x14:dxf>
          </x14:cfRule>
          <xm:sqref>J68 Q68 AE68 X68</xm:sqref>
        </x14:conditionalFormatting>
        <x14:conditionalFormatting xmlns:xm="http://schemas.microsoft.com/office/excel/2006/main">
          <x14:cfRule type="expression" priority="14485" id="{277C247B-1E05-4EC2-A1B7-4FFADE5A761C}">
            <xm:f>AND(IF(J68&gt;'F:\Users\norela.briceno\Documents\Plan de acción\Plan Accion 2018\[Plan Accion Integrado ADRES Vigencia 2018 con Cuadro de Mando V6..xlsx]Plan de Accion 2018'!#REF!,J68&lt;&gt;¨N/A¨))</xm:f>
            <x14:dxf>
              <fill>
                <patternFill>
                  <bgColor theme="1" tint="0.499984740745262"/>
                </patternFill>
              </fill>
            </x14:dxf>
          </x14:cfRule>
          <x14:cfRule type="expression" priority="14486" stopIfTrue="1" id="{7C352CC0-A63B-4C17-ACBD-3D61A19565AF}">
            <xm:f>AND(IF(J68='F:\Users\norela.briceno\Documents\Plan de acción\Plan Accion 2018\[Plan Accion Integrado ADRES Vigencia 2018 con Cuadro de Mando V6..xlsx]Plan de Accion 2018'!#REF!,J68&lt;&gt;"N/A"))</xm:f>
            <x14:dxf>
              <fill>
                <patternFill>
                  <bgColor rgb="FF00B050"/>
                </patternFill>
              </fill>
            </x14:dxf>
          </x14:cfRule>
          <x14:cfRule type="expression" priority="14487" stopIfTrue="1" id="{80E8C43B-1095-40EB-BEAD-7862DB9E7C4E}">
            <xm:f>AND(IF(J68&lt;'F:\Users\norela.briceno\Documents\Plan de acción\Plan Accion 2018\[Plan Accion Integrado ADRES Vigencia 2018 con Cuadro de Mando V6..xlsx]Plan de Accion 2018'!#REF!,J68&lt;&gt;"N/A"))</xm:f>
            <x14:dxf>
              <fill>
                <patternFill>
                  <bgColor indexed="10"/>
                </patternFill>
              </fill>
            </x14:dxf>
          </x14:cfRule>
          <xm:sqref>J68</xm:sqref>
        </x14:conditionalFormatting>
        <x14:conditionalFormatting xmlns:xm="http://schemas.microsoft.com/office/excel/2006/main">
          <x14:cfRule type="expression" priority="14482" id="{1597A607-26D9-47FA-9946-37A7F2BADE26}">
            <xm:f>AND(IF(Q68&gt;'F:\Users\norela.briceno\Documents\Plan de acción\Plan Accion 2018\[Plan Accion Integrado ADRES Vigencia 2018 con Cuadro de Mando V6..xlsx]Plan de Accion 2018'!#REF!,Q68&lt;&gt;¨N/A¨))</xm:f>
            <x14:dxf>
              <fill>
                <patternFill>
                  <bgColor theme="1" tint="0.499984740745262"/>
                </patternFill>
              </fill>
            </x14:dxf>
          </x14:cfRule>
          <x14:cfRule type="expression" priority="14483" stopIfTrue="1" id="{BE200115-300C-4B98-9021-C5BFFF43EF80}">
            <xm:f>AND(IF(Q68='F:\Users\norela.briceno\Documents\Plan de acción\Plan Accion 2018\[Plan Accion Integrado ADRES Vigencia 2018 con Cuadro de Mando V6..xlsx]Plan de Accion 2018'!#REF!,Q68&lt;&gt;"N/A"))</xm:f>
            <x14:dxf>
              <fill>
                <patternFill>
                  <bgColor rgb="FF00B050"/>
                </patternFill>
              </fill>
            </x14:dxf>
          </x14:cfRule>
          <x14:cfRule type="expression" priority="14484" stopIfTrue="1" id="{172CCCDA-BC7A-4895-84B3-317B61DF4153}">
            <xm:f>AND(IF(Q68&lt;'F:\Users\norela.briceno\Documents\Plan de acción\Plan Accion 2018\[Plan Accion Integrado ADRES Vigencia 2018 con Cuadro de Mando V6..xlsx]Plan de Accion 2018'!#REF!,Q68&lt;&gt;"N/A"))</xm:f>
            <x14:dxf>
              <fill>
                <patternFill>
                  <bgColor indexed="10"/>
                </patternFill>
              </fill>
            </x14:dxf>
          </x14:cfRule>
          <xm:sqref>Q68</xm:sqref>
        </x14:conditionalFormatting>
        <x14:conditionalFormatting xmlns:xm="http://schemas.microsoft.com/office/excel/2006/main">
          <x14:cfRule type="expression" priority="14479" id="{D9FC9253-8758-4209-8004-22DA1682CA49}">
            <xm:f>AND(IF(X68&gt;'F:\Users\norela.briceno\Documents\Plan de acción\Plan Accion 2018\[Plan Accion Integrado ADRES Vigencia 2018 con Cuadro de Mando V6..xlsx]Plan de Accion 2018'!#REF!,X68&lt;&gt;¨N/A¨))</xm:f>
            <x14:dxf>
              <fill>
                <patternFill>
                  <bgColor theme="1" tint="0.499984740745262"/>
                </patternFill>
              </fill>
            </x14:dxf>
          </x14:cfRule>
          <x14:cfRule type="expression" priority="14480" stopIfTrue="1" id="{5E74A8E6-440C-456C-A703-B1A52A3CFC6E}">
            <xm:f>AND(IF(X68='F:\Users\norela.briceno\Documents\Plan de acción\Plan Accion 2018\[Plan Accion Integrado ADRES Vigencia 2018 con Cuadro de Mando V6..xlsx]Plan de Accion 2018'!#REF!,X68&lt;&gt;"N/A"))</xm:f>
            <x14:dxf>
              <fill>
                <patternFill>
                  <bgColor rgb="FF00B050"/>
                </patternFill>
              </fill>
            </x14:dxf>
          </x14:cfRule>
          <x14:cfRule type="expression" priority="14481" stopIfTrue="1" id="{31BEB808-890A-4B85-A684-A51CA4B30B5C}">
            <xm:f>AND(IF(X68&lt;'F:\Users\norela.briceno\Documents\Plan de acción\Plan Accion 2018\[Plan Accion Integrado ADRES Vigencia 2018 con Cuadro de Mando V6..xlsx]Plan de Accion 2018'!#REF!,X68&lt;&gt;"N/A"))</xm:f>
            <x14:dxf>
              <fill>
                <patternFill>
                  <bgColor indexed="10"/>
                </patternFill>
              </fill>
            </x14:dxf>
          </x14:cfRule>
          <xm:sqref>X68</xm:sqref>
        </x14:conditionalFormatting>
        <x14:conditionalFormatting xmlns:xm="http://schemas.microsoft.com/office/excel/2006/main">
          <x14:cfRule type="expression" priority="14476" id="{7730DE9B-16F5-4E57-BA7E-4F453BD9C86F}">
            <xm:f>AND(IF(AE68&gt;'F:\Users\norela.briceno\Documents\Plan de acción\Plan Accion 2018\[Plan Accion Integrado ADRES Vigencia 2018 con Cuadro de Mando V6..xlsx]Plan de Accion 2018'!#REF!,AE68&lt;&gt;¨N/A¨))</xm:f>
            <x14:dxf>
              <fill>
                <patternFill>
                  <bgColor theme="1" tint="0.499984740745262"/>
                </patternFill>
              </fill>
            </x14:dxf>
          </x14:cfRule>
          <x14:cfRule type="expression" priority="14477" stopIfTrue="1" id="{5C7829B8-74FF-48F2-9603-721B730976EE}">
            <xm:f>AND(IF(AE68='F:\Users\norela.briceno\Documents\Plan de acción\Plan Accion 2018\[Plan Accion Integrado ADRES Vigencia 2018 con Cuadro de Mando V6..xlsx]Plan de Accion 2018'!#REF!,AE68&lt;&gt;"N/A"))</xm:f>
            <x14:dxf>
              <fill>
                <patternFill>
                  <bgColor rgb="FF00B050"/>
                </patternFill>
              </fill>
            </x14:dxf>
          </x14:cfRule>
          <x14:cfRule type="expression" priority="14478" stopIfTrue="1" id="{354CF8C9-7338-499D-919A-416C0C19F41C}">
            <xm:f>AND(IF(AE68&lt;'F:\Users\norela.briceno\Documents\Plan de acción\Plan Accion 2018\[Plan Accion Integrado ADRES Vigencia 2018 con Cuadro de Mando V6..xlsx]Plan de Accion 2018'!#REF!,AE68&lt;&gt;"N/A"))</xm:f>
            <x14:dxf>
              <fill>
                <patternFill>
                  <bgColor indexed="10"/>
                </patternFill>
              </fill>
            </x14:dxf>
          </x14:cfRule>
          <xm:sqref>AE68</xm:sqref>
        </x14:conditionalFormatting>
        <x14:conditionalFormatting xmlns:xm="http://schemas.microsoft.com/office/excel/2006/main">
          <x14:cfRule type="expression" priority="14338" id="{AB076C6C-EB09-4A49-A23E-0715DDAFACDF}">
            <xm:f>AND(IF(J85&gt;'F:\Users\norela.briceno\Documents\Plan de acción\Plan Accion 2018\[Plan Accion Integrado ADRES Vigencia 2018 con Cuadro de Mando V6..xlsx]Plan de Accion 2018'!#REF!,J85&lt;&gt;¨N/A¨))</xm:f>
            <x14:dxf>
              <fill>
                <patternFill>
                  <bgColor theme="1" tint="0.499984740745262"/>
                </patternFill>
              </fill>
            </x14:dxf>
          </x14:cfRule>
          <x14:cfRule type="expression" priority="14339" stopIfTrue="1" id="{77DC3356-677E-4D18-A4DF-D2AFC26247DF}">
            <xm:f>AND(IF(J85='F:\Users\norela.briceno\Documents\Plan de acción\Plan Accion 2018\[Plan Accion Integrado ADRES Vigencia 2018 con Cuadro de Mando V6..xlsx]Plan de Accion 2018'!#REF!,J85&lt;&gt;"N/A"))</xm:f>
            <x14:dxf>
              <fill>
                <patternFill>
                  <bgColor rgb="FF00B050"/>
                </patternFill>
              </fill>
            </x14:dxf>
          </x14:cfRule>
          <x14:cfRule type="expression" priority="14340" stopIfTrue="1" id="{B253DC3C-E10D-4065-9222-48720D956640}">
            <xm:f>AND(IF(J85&lt;'F:\Users\norela.briceno\Documents\Plan de acción\Plan Accion 2018\[Plan Accion Integrado ADRES Vigencia 2018 con Cuadro de Mando V6..xlsx]Plan de Accion 2018'!#REF!,J85&lt;&gt;"N/A"))</xm:f>
            <x14:dxf>
              <fill>
                <patternFill>
                  <bgColor indexed="10"/>
                </patternFill>
              </fill>
            </x14:dxf>
          </x14:cfRule>
          <xm:sqref>J85:J89 Q85:Q88 AE85:AE88 X85:X88</xm:sqref>
        </x14:conditionalFormatting>
        <x14:conditionalFormatting xmlns:xm="http://schemas.microsoft.com/office/excel/2006/main">
          <x14:cfRule type="expression" priority="14335" id="{1F1A6CE1-E506-437C-A387-73DD8B40CBFC}">
            <xm:f>AND(IF(J85&gt;'F:\Users\norela.briceno\Documents\Plan de acción\Plan Accion 2018\[Plan Accion Integrado ADRES Vigencia 2018 con Cuadro de Mando V6..xlsx]Plan de Accion 2018'!#REF!,J85&lt;&gt;¨N/A¨))</xm:f>
            <x14:dxf>
              <fill>
                <patternFill>
                  <bgColor theme="1" tint="0.499984740745262"/>
                </patternFill>
              </fill>
            </x14:dxf>
          </x14:cfRule>
          <x14:cfRule type="expression" priority="14336" stopIfTrue="1" id="{F477455F-DD17-4C56-B87D-E9FE1C9C72DD}">
            <xm:f>AND(IF(J85='F:\Users\norela.briceno\Documents\Plan de acción\Plan Accion 2018\[Plan Accion Integrado ADRES Vigencia 2018 con Cuadro de Mando V6..xlsx]Plan de Accion 2018'!#REF!,J85&lt;&gt;"N/A"))</xm:f>
            <x14:dxf>
              <fill>
                <patternFill>
                  <bgColor rgb="FF00B050"/>
                </patternFill>
              </fill>
            </x14:dxf>
          </x14:cfRule>
          <x14:cfRule type="expression" priority="14337" stopIfTrue="1" id="{3B12C471-2773-424E-80C2-4F87BEA02573}">
            <xm:f>AND(IF(J85&lt;'F:\Users\norela.briceno\Documents\Plan de acción\Plan Accion 2018\[Plan Accion Integrado ADRES Vigencia 2018 con Cuadro de Mando V6..xlsx]Plan de Accion 2018'!#REF!,J85&lt;&gt;"N/A"))</xm:f>
            <x14:dxf>
              <fill>
                <patternFill>
                  <bgColor indexed="10"/>
                </patternFill>
              </fill>
            </x14:dxf>
          </x14:cfRule>
          <xm:sqref>J85:J89</xm:sqref>
        </x14:conditionalFormatting>
        <x14:conditionalFormatting xmlns:xm="http://schemas.microsoft.com/office/excel/2006/main">
          <x14:cfRule type="expression" priority="14332" id="{239455FA-039D-4F0E-99F2-A3B5B2E997EC}">
            <xm:f>AND(IF(Q85&gt;'F:\Users\norela.briceno\Documents\Plan de acción\Plan Accion 2018\[Plan Accion Integrado ADRES Vigencia 2018 con Cuadro de Mando V6..xlsx]Plan de Accion 2018'!#REF!,Q85&lt;&gt;¨N/A¨))</xm:f>
            <x14:dxf>
              <fill>
                <patternFill>
                  <bgColor theme="1" tint="0.499984740745262"/>
                </patternFill>
              </fill>
            </x14:dxf>
          </x14:cfRule>
          <x14:cfRule type="expression" priority="14333" stopIfTrue="1" id="{9E176D54-84A3-43C0-BB10-3106C598706F}">
            <xm:f>AND(IF(Q85='F:\Users\norela.briceno\Documents\Plan de acción\Plan Accion 2018\[Plan Accion Integrado ADRES Vigencia 2018 con Cuadro de Mando V6..xlsx]Plan de Accion 2018'!#REF!,Q85&lt;&gt;"N/A"))</xm:f>
            <x14:dxf>
              <fill>
                <patternFill>
                  <bgColor rgb="FF00B050"/>
                </patternFill>
              </fill>
            </x14:dxf>
          </x14:cfRule>
          <x14:cfRule type="expression" priority="14334" stopIfTrue="1" id="{0EE302BE-377C-42D4-8550-100B95B06863}">
            <xm:f>AND(IF(Q85&lt;'F:\Users\norela.briceno\Documents\Plan de acción\Plan Accion 2018\[Plan Accion Integrado ADRES Vigencia 2018 con Cuadro de Mando V6..xlsx]Plan de Accion 2018'!#REF!,Q85&lt;&gt;"N/A"))</xm:f>
            <x14:dxf>
              <fill>
                <patternFill>
                  <bgColor indexed="10"/>
                </patternFill>
              </fill>
            </x14:dxf>
          </x14:cfRule>
          <xm:sqref>Q85:Q88</xm:sqref>
        </x14:conditionalFormatting>
        <x14:conditionalFormatting xmlns:xm="http://schemas.microsoft.com/office/excel/2006/main">
          <x14:cfRule type="expression" priority="14329" id="{A4F74C1A-1931-4374-982F-AA4D90128176}">
            <xm:f>AND(IF(X85&gt;'F:\Users\norela.briceno\Documents\Plan de acción\Plan Accion 2018\[Plan Accion Integrado ADRES Vigencia 2018 con Cuadro de Mando V6..xlsx]Plan de Accion 2018'!#REF!,X85&lt;&gt;¨N/A¨))</xm:f>
            <x14:dxf>
              <fill>
                <patternFill>
                  <bgColor theme="1" tint="0.499984740745262"/>
                </patternFill>
              </fill>
            </x14:dxf>
          </x14:cfRule>
          <x14:cfRule type="expression" priority="14330" stopIfTrue="1" id="{AF947819-8A75-4ED0-BD4D-0CF75295264E}">
            <xm:f>AND(IF(X85='F:\Users\norela.briceno\Documents\Plan de acción\Plan Accion 2018\[Plan Accion Integrado ADRES Vigencia 2018 con Cuadro de Mando V6..xlsx]Plan de Accion 2018'!#REF!,X85&lt;&gt;"N/A"))</xm:f>
            <x14:dxf>
              <fill>
                <patternFill>
                  <bgColor rgb="FF00B050"/>
                </patternFill>
              </fill>
            </x14:dxf>
          </x14:cfRule>
          <x14:cfRule type="expression" priority="14331" stopIfTrue="1" id="{F4378D0D-BCED-452C-93BB-8E35FA42E6E2}">
            <xm:f>AND(IF(X85&lt;'F:\Users\norela.briceno\Documents\Plan de acción\Plan Accion 2018\[Plan Accion Integrado ADRES Vigencia 2018 con Cuadro de Mando V6..xlsx]Plan de Accion 2018'!#REF!,X85&lt;&gt;"N/A"))</xm:f>
            <x14:dxf>
              <fill>
                <patternFill>
                  <bgColor indexed="10"/>
                </patternFill>
              </fill>
            </x14:dxf>
          </x14:cfRule>
          <xm:sqref>X85:X88</xm:sqref>
        </x14:conditionalFormatting>
        <x14:conditionalFormatting xmlns:xm="http://schemas.microsoft.com/office/excel/2006/main">
          <x14:cfRule type="expression" priority="14326" id="{1DAD549B-EDCC-4E1F-9FAF-D8C90C766EDB}">
            <xm:f>AND(IF(AE85&gt;'F:\Users\norela.briceno\Documents\Plan de acción\Plan Accion 2018\[Plan Accion Integrado ADRES Vigencia 2018 con Cuadro de Mando V6..xlsx]Plan de Accion 2018'!#REF!,AE85&lt;&gt;¨N/A¨))</xm:f>
            <x14:dxf>
              <fill>
                <patternFill>
                  <bgColor theme="1" tint="0.499984740745262"/>
                </patternFill>
              </fill>
            </x14:dxf>
          </x14:cfRule>
          <x14:cfRule type="expression" priority="14327" stopIfTrue="1" id="{41433009-701D-402E-9492-9230D30C415F}">
            <xm:f>AND(IF(AE85='F:\Users\norela.briceno\Documents\Plan de acción\Plan Accion 2018\[Plan Accion Integrado ADRES Vigencia 2018 con Cuadro de Mando V6..xlsx]Plan de Accion 2018'!#REF!,AE85&lt;&gt;"N/A"))</xm:f>
            <x14:dxf>
              <fill>
                <patternFill>
                  <bgColor rgb="FF00B050"/>
                </patternFill>
              </fill>
            </x14:dxf>
          </x14:cfRule>
          <x14:cfRule type="expression" priority="14328" stopIfTrue="1" id="{446EA403-6BB1-4F62-887D-E78FEDF297F5}">
            <xm:f>AND(IF(AE85&lt;'F:\Users\norela.briceno\Documents\Plan de acción\Plan Accion 2018\[Plan Accion Integrado ADRES Vigencia 2018 con Cuadro de Mando V6..xlsx]Plan de Accion 2018'!#REF!,AE85&lt;&gt;"N/A"))</xm:f>
            <x14:dxf>
              <fill>
                <patternFill>
                  <bgColor indexed="10"/>
                </patternFill>
              </fill>
            </x14:dxf>
          </x14:cfRule>
          <xm:sqref>AE85:AE88</xm:sqref>
        </x14:conditionalFormatting>
        <x14:conditionalFormatting xmlns:xm="http://schemas.microsoft.com/office/excel/2006/main">
          <x14:cfRule type="expression" priority="14263" id="{4B9ED026-1F1A-41C1-9E9B-67BF45C81410}">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14264" stopIfTrue="1" id="{5F43DDDB-DF00-45EB-819D-FD9CFD68CF3A}">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14265" stopIfTrue="1" id="{8AF9E8F0-43DF-4EA9-B1CF-8186F7389145}">
            <xm:f>AND(IF(Q92&lt;'F:\Users\norela.briceno\Documents\Plan de acción\Plan Accion 2018\[Plan Accion Integrado ADRES Vigencia 2018 con Cuadro de Mando V6..xlsx]Plan de Accion 2018'!#REF!,Q92&lt;&gt;"N/A"))</xm:f>
            <x14:dxf>
              <fill>
                <patternFill>
                  <bgColor indexed="10"/>
                </patternFill>
              </fill>
            </x14:dxf>
          </x14:cfRule>
          <xm:sqref>Q92 AE92 X92</xm:sqref>
        </x14:conditionalFormatting>
        <x14:conditionalFormatting xmlns:xm="http://schemas.microsoft.com/office/excel/2006/main">
          <x14:cfRule type="expression" priority="14257" id="{EF22D614-6381-4FBD-8426-9AB90971CDF0}">
            <xm:f>AND(IF(Q92&gt;'F:\Users\norela.briceno\Documents\Plan de acción\Plan Accion 2018\[Plan Accion Integrado ADRES Vigencia 2018 con Cuadro de Mando V6..xlsx]Plan de Accion 2018'!#REF!,Q92&lt;&gt;¨N/A¨))</xm:f>
            <x14:dxf>
              <fill>
                <patternFill>
                  <bgColor theme="1" tint="0.499984740745262"/>
                </patternFill>
              </fill>
            </x14:dxf>
          </x14:cfRule>
          <x14:cfRule type="expression" priority="14258" stopIfTrue="1" id="{C265BC57-0612-4E75-ACD8-86236B30E3AB}">
            <xm:f>AND(IF(Q92='F:\Users\norela.briceno\Documents\Plan de acción\Plan Accion 2018\[Plan Accion Integrado ADRES Vigencia 2018 con Cuadro de Mando V6..xlsx]Plan de Accion 2018'!#REF!,Q92&lt;&gt;"N/A"))</xm:f>
            <x14:dxf>
              <fill>
                <patternFill>
                  <bgColor rgb="FF00B050"/>
                </patternFill>
              </fill>
            </x14:dxf>
          </x14:cfRule>
          <x14:cfRule type="expression" priority="14259" stopIfTrue="1" id="{891B283E-9EDC-4BBC-AE0F-8669302732DE}">
            <xm:f>AND(IF(Q92&lt;'F:\Users\norela.briceno\Documents\Plan de acción\Plan Accion 2018\[Plan Accion Integrado ADRES Vigencia 2018 con Cuadro de Mando V6..xlsx]Plan de Accion 2018'!#REF!,Q92&lt;&gt;"N/A"))</xm:f>
            <x14:dxf>
              <fill>
                <patternFill>
                  <bgColor indexed="10"/>
                </patternFill>
              </fill>
            </x14:dxf>
          </x14:cfRule>
          <xm:sqref>Q92</xm:sqref>
        </x14:conditionalFormatting>
        <x14:conditionalFormatting xmlns:xm="http://schemas.microsoft.com/office/excel/2006/main">
          <x14:cfRule type="expression" priority="14254" id="{75A636CA-7DCE-4EC8-830D-0DF9A0242FCE}">
            <xm:f>AND(IF(X92&gt;'F:\Users\norela.briceno\Documents\Plan de acción\Plan Accion 2018\[Plan Accion Integrado ADRES Vigencia 2018 con Cuadro de Mando V6..xlsx]Plan de Accion 2018'!#REF!,X92&lt;&gt;¨N/A¨))</xm:f>
            <x14:dxf>
              <fill>
                <patternFill>
                  <bgColor theme="1" tint="0.499984740745262"/>
                </patternFill>
              </fill>
            </x14:dxf>
          </x14:cfRule>
          <x14:cfRule type="expression" priority="14255" stopIfTrue="1" id="{D3ED750C-B1FD-4904-829C-B67CF2655DA0}">
            <xm:f>AND(IF(X92='F:\Users\norela.briceno\Documents\Plan de acción\Plan Accion 2018\[Plan Accion Integrado ADRES Vigencia 2018 con Cuadro de Mando V6..xlsx]Plan de Accion 2018'!#REF!,X92&lt;&gt;"N/A"))</xm:f>
            <x14:dxf>
              <fill>
                <patternFill>
                  <bgColor rgb="FF00B050"/>
                </patternFill>
              </fill>
            </x14:dxf>
          </x14:cfRule>
          <x14:cfRule type="expression" priority="14256" stopIfTrue="1" id="{0BF87665-CA1D-424C-94D6-ED7291C96E2C}">
            <xm:f>AND(IF(X92&lt;'F:\Users\norela.briceno\Documents\Plan de acción\Plan Accion 2018\[Plan Accion Integrado ADRES Vigencia 2018 con Cuadro de Mando V6..xlsx]Plan de Accion 2018'!#REF!,X92&lt;&gt;"N/A"))</xm:f>
            <x14:dxf>
              <fill>
                <patternFill>
                  <bgColor indexed="10"/>
                </patternFill>
              </fill>
            </x14:dxf>
          </x14:cfRule>
          <xm:sqref>X92</xm:sqref>
        </x14:conditionalFormatting>
        <x14:conditionalFormatting xmlns:xm="http://schemas.microsoft.com/office/excel/2006/main">
          <x14:cfRule type="expression" priority="14251" id="{37B18A94-A42E-4635-B9C1-1D9DF06DE6BF}">
            <xm:f>AND(IF(AE92&gt;'F:\Users\norela.briceno\Documents\Plan de acción\Plan Accion 2018\[Plan Accion Integrado ADRES Vigencia 2018 con Cuadro de Mando V6..xlsx]Plan de Accion 2018'!#REF!,AE92&lt;&gt;¨N/A¨))</xm:f>
            <x14:dxf>
              <fill>
                <patternFill>
                  <bgColor theme="1" tint="0.499984740745262"/>
                </patternFill>
              </fill>
            </x14:dxf>
          </x14:cfRule>
          <x14:cfRule type="expression" priority="14252" stopIfTrue="1" id="{2CF224C8-E017-4D67-9A5D-4201C95BADDD}">
            <xm:f>AND(IF(AE92='F:\Users\norela.briceno\Documents\Plan de acción\Plan Accion 2018\[Plan Accion Integrado ADRES Vigencia 2018 con Cuadro de Mando V6..xlsx]Plan de Accion 2018'!#REF!,AE92&lt;&gt;"N/A"))</xm:f>
            <x14:dxf>
              <fill>
                <patternFill>
                  <bgColor rgb="FF00B050"/>
                </patternFill>
              </fill>
            </x14:dxf>
          </x14:cfRule>
          <x14:cfRule type="expression" priority="14253" stopIfTrue="1" id="{8B3F7801-A99D-42DA-A52E-A5888E62650C}">
            <xm:f>AND(IF(AE92&lt;'F:\Users\norela.briceno\Documents\Plan de acción\Plan Accion 2018\[Plan Accion Integrado ADRES Vigencia 2018 con Cuadro de Mando V6..xlsx]Plan de Accion 2018'!#REF!,AE92&lt;&gt;"N/A"))</xm:f>
            <x14:dxf>
              <fill>
                <patternFill>
                  <bgColor indexed="10"/>
                </patternFill>
              </fill>
            </x14:dxf>
          </x14:cfRule>
          <xm:sqref>AE92</xm:sqref>
        </x14:conditionalFormatting>
        <x14:conditionalFormatting xmlns:xm="http://schemas.microsoft.com/office/excel/2006/main">
          <x14:cfRule type="expression" priority="14158" id="{53C51005-2A71-437E-81E8-503A9A16D1C6}">
            <xm:f>AND(IF(J98&gt;'F:\Users\norela.briceno\Documents\Plan de acción\Plan Accion 2018\[Plan Accion Integrado ADRES Vigencia 2018 con Cuadro de Mando V6..xlsx]Plan de Accion 2018'!#REF!,J98&lt;&gt;¨N/A¨))</xm:f>
            <x14:dxf>
              <fill>
                <patternFill>
                  <bgColor theme="1" tint="0.499984740745262"/>
                </patternFill>
              </fill>
            </x14:dxf>
          </x14:cfRule>
          <x14:cfRule type="expression" priority="14159" stopIfTrue="1" id="{B9A5D313-824E-4E99-AA2F-427D14209561}">
            <xm:f>AND(IF(J98='F:\Users\norela.briceno\Documents\Plan de acción\Plan Accion 2018\[Plan Accion Integrado ADRES Vigencia 2018 con Cuadro de Mando V6..xlsx]Plan de Accion 2018'!#REF!,J98&lt;&gt;"N/A"))</xm:f>
            <x14:dxf>
              <fill>
                <patternFill>
                  <bgColor rgb="FF00B050"/>
                </patternFill>
              </fill>
            </x14:dxf>
          </x14:cfRule>
          <x14:cfRule type="expression" priority="14160" stopIfTrue="1" id="{463F36C8-E64A-4D85-B233-A70B91D17A33}">
            <xm:f>AND(IF(J98&lt;'F:\Users\norela.briceno\Documents\Plan de acción\Plan Accion 2018\[Plan Accion Integrado ADRES Vigencia 2018 con Cuadro de Mando V6..xlsx]Plan de Accion 2018'!#REF!,J98&lt;&gt;"N/A"))</xm:f>
            <x14:dxf>
              <fill>
                <patternFill>
                  <bgColor indexed="10"/>
                </patternFill>
              </fill>
            </x14:dxf>
          </x14:cfRule>
          <xm:sqref>J98 Q98 AE98 X98</xm:sqref>
        </x14:conditionalFormatting>
        <x14:conditionalFormatting xmlns:xm="http://schemas.microsoft.com/office/excel/2006/main">
          <x14:cfRule type="expression" priority="14155" id="{F26DE3D4-0C2B-47B3-AFB4-B8BECEF06843}">
            <xm:f>AND(IF(J98&gt;'F:\Users\norela.briceno\Documents\Plan de acción\Plan Accion 2018\[Plan Accion Integrado ADRES Vigencia 2018 con Cuadro de Mando V6..xlsx]Plan de Accion 2018'!#REF!,J98&lt;&gt;¨N/A¨))</xm:f>
            <x14:dxf>
              <fill>
                <patternFill>
                  <bgColor theme="1" tint="0.499984740745262"/>
                </patternFill>
              </fill>
            </x14:dxf>
          </x14:cfRule>
          <x14:cfRule type="expression" priority="14156" stopIfTrue="1" id="{3483F931-0387-4F09-B068-F8529A1E66E4}">
            <xm:f>AND(IF(J98='F:\Users\norela.briceno\Documents\Plan de acción\Plan Accion 2018\[Plan Accion Integrado ADRES Vigencia 2018 con Cuadro de Mando V6..xlsx]Plan de Accion 2018'!#REF!,J98&lt;&gt;"N/A"))</xm:f>
            <x14:dxf>
              <fill>
                <patternFill>
                  <bgColor rgb="FF00B050"/>
                </patternFill>
              </fill>
            </x14:dxf>
          </x14:cfRule>
          <x14:cfRule type="expression" priority="14157" stopIfTrue="1" id="{589BCABB-68CB-4C3D-B5EF-5C9FC02BE327}">
            <xm:f>AND(IF(J98&lt;'F:\Users\norela.briceno\Documents\Plan de acción\Plan Accion 2018\[Plan Accion Integrado ADRES Vigencia 2018 con Cuadro de Mando V6..xlsx]Plan de Accion 2018'!#REF!,J98&lt;&gt;"N/A"))</xm:f>
            <x14:dxf>
              <fill>
                <patternFill>
                  <bgColor indexed="10"/>
                </patternFill>
              </fill>
            </x14:dxf>
          </x14:cfRule>
          <xm:sqref>J98</xm:sqref>
        </x14:conditionalFormatting>
        <x14:conditionalFormatting xmlns:xm="http://schemas.microsoft.com/office/excel/2006/main">
          <x14:cfRule type="expression" priority="14152" id="{065F16C1-E4FB-46DC-B2EE-14E1C551A968}">
            <xm:f>AND(IF(Q98&gt;'F:\Users\norela.briceno\Documents\Plan de acción\Plan Accion 2018\[Plan Accion Integrado ADRES Vigencia 2018 con Cuadro de Mando V6..xlsx]Plan de Accion 2018'!#REF!,Q98&lt;&gt;¨N/A¨))</xm:f>
            <x14:dxf>
              <fill>
                <patternFill>
                  <bgColor theme="1" tint="0.499984740745262"/>
                </patternFill>
              </fill>
            </x14:dxf>
          </x14:cfRule>
          <x14:cfRule type="expression" priority="14153" stopIfTrue="1" id="{7AD4A33F-130A-454F-83CA-E50DC8AFBDB5}">
            <xm:f>AND(IF(Q98='F:\Users\norela.briceno\Documents\Plan de acción\Plan Accion 2018\[Plan Accion Integrado ADRES Vigencia 2018 con Cuadro de Mando V6..xlsx]Plan de Accion 2018'!#REF!,Q98&lt;&gt;"N/A"))</xm:f>
            <x14:dxf>
              <fill>
                <patternFill>
                  <bgColor rgb="FF00B050"/>
                </patternFill>
              </fill>
            </x14:dxf>
          </x14:cfRule>
          <x14:cfRule type="expression" priority="14154" stopIfTrue="1" id="{9378AD81-E052-4DE5-B6A7-211AA5B84A73}">
            <xm:f>AND(IF(Q98&lt;'F:\Users\norela.briceno\Documents\Plan de acción\Plan Accion 2018\[Plan Accion Integrado ADRES Vigencia 2018 con Cuadro de Mando V6..xlsx]Plan de Accion 2018'!#REF!,Q98&lt;&gt;"N/A"))</xm:f>
            <x14:dxf>
              <fill>
                <patternFill>
                  <bgColor indexed="10"/>
                </patternFill>
              </fill>
            </x14:dxf>
          </x14:cfRule>
          <xm:sqref>Q98</xm:sqref>
        </x14:conditionalFormatting>
        <x14:conditionalFormatting xmlns:xm="http://schemas.microsoft.com/office/excel/2006/main">
          <x14:cfRule type="expression" priority="14149" id="{09D9FF6C-6B19-4716-B16B-088BD385C9A0}">
            <xm:f>AND(IF(X98&gt;'F:\Users\norela.briceno\Documents\Plan de acción\Plan Accion 2018\[Plan Accion Integrado ADRES Vigencia 2018 con Cuadro de Mando V6..xlsx]Plan de Accion 2018'!#REF!,X98&lt;&gt;¨N/A¨))</xm:f>
            <x14:dxf>
              <fill>
                <patternFill>
                  <bgColor theme="1" tint="0.499984740745262"/>
                </patternFill>
              </fill>
            </x14:dxf>
          </x14:cfRule>
          <x14:cfRule type="expression" priority="14150" stopIfTrue="1" id="{5B825C0A-EAC1-4308-8266-9970125A5BE2}">
            <xm:f>AND(IF(X98='F:\Users\norela.briceno\Documents\Plan de acción\Plan Accion 2018\[Plan Accion Integrado ADRES Vigencia 2018 con Cuadro de Mando V6..xlsx]Plan de Accion 2018'!#REF!,X98&lt;&gt;"N/A"))</xm:f>
            <x14:dxf>
              <fill>
                <patternFill>
                  <bgColor rgb="FF00B050"/>
                </patternFill>
              </fill>
            </x14:dxf>
          </x14:cfRule>
          <x14:cfRule type="expression" priority="14151" stopIfTrue="1" id="{AC9FE457-6058-4659-8427-959FC8F304AA}">
            <xm:f>AND(IF(X98&lt;'F:\Users\norela.briceno\Documents\Plan de acción\Plan Accion 2018\[Plan Accion Integrado ADRES Vigencia 2018 con Cuadro de Mando V6..xlsx]Plan de Accion 2018'!#REF!,X98&lt;&gt;"N/A"))</xm:f>
            <x14:dxf>
              <fill>
                <patternFill>
                  <bgColor indexed="10"/>
                </patternFill>
              </fill>
            </x14:dxf>
          </x14:cfRule>
          <xm:sqref>X98</xm:sqref>
        </x14:conditionalFormatting>
        <x14:conditionalFormatting xmlns:xm="http://schemas.microsoft.com/office/excel/2006/main">
          <x14:cfRule type="expression" priority="14146" id="{F0EB1602-8F1A-4FCD-B7F0-12D211BF4DFD}">
            <xm:f>AND(IF(AE98&gt;'F:\Users\norela.briceno\Documents\Plan de acción\Plan Accion 2018\[Plan Accion Integrado ADRES Vigencia 2018 con Cuadro de Mando V6..xlsx]Plan de Accion 2018'!#REF!,AE98&lt;&gt;¨N/A¨))</xm:f>
            <x14:dxf>
              <fill>
                <patternFill>
                  <bgColor theme="1" tint="0.499984740745262"/>
                </patternFill>
              </fill>
            </x14:dxf>
          </x14:cfRule>
          <x14:cfRule type="expression" priority="14147" stopIfTrue="1" id="{E3AA2E07-27E8-4FB5-9521-3FE7CDF17403}">
            <xm:f>AND(IF(AE98='F:\Users\norela.briceno\Documents\Plan de acción\Plan Accion 2018\[Plan Accion Integrado ADRES Vigencia 2018 con Cuadro de Mando V6..xlsx]Plan de Accion 2018'!#REF!,AE98&lt;&gt;"N/A"))</xm:f>
            <x14:dxf>
              <fill>
                <patternFill>
                  <bgColor rgb="FF00B050"/>
                </patternFill>
              </fill>
            </x14:dxf>
          </x14:cfRule>
          <x14:cfRule type="expression" priority="14148" stopIfTrue="1" id="{262A5DDF-4685-47D8-AC11-DD86CDF7B07F}">
            <xm:f>AND(IF(AE98&lt;'F:\Users\norela.briceno\Documents\Plan de acción\Plan Accion 2018\[Plan Accion Integrado ADRES Vigencia 2018 con Cuadro de Mando V6..xlsx]Plan de Accion 2018'!#REF!,AE98&lt;&gt;"N/A"))</xm:f>
            <x14:dxf>
              <fill>
                <patternFill>
                  <bgColor indexed="10"/>
                </patternFill>
              </fill>
            </x14:dxf>
          </x14:cfRule>
          <xm:sqref>AE98</xm:sqref>
        </x14:conditionalFormatting>
        <x14:conditionalFormatting xmlns:xm="http://schemas.microsoft.com/office/excel/2006/main">
          <x14:cfRule type="expression" priority="14083" id="{DDA5985C-B503-427C-B961-AA897B874158}">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14084" stopIfTrue="1" id="{97DEACE8-306D-44D2-874C-91D185469876}">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14085" stopIfTrue="1" id="{8966E3D8-383E-4E38-8A66-A9E750A01A12}">
            <xm:f>AND(IF(Q118&lt;'F:\Users\norela.briceno\Documents\Plan de acción\Plan Accion 2018\[Plan Accion Integrado ADRES Vigencia 2018 con Cuadro de Mando V6..xlsx]Plan de Accion 2018'!#REF!,Q118&lt;&gt;"N/A"))</xm:f>
            <x14:dxf>
              <fill>
                <patternFill>
                  <bgColor indexed="10"/>
                </patternFill>
              </fill>
            </x14:dxf>
          </x14:cfRule>
          <xm:sqref>X119 AE118:AE119 Q118:Q119</xm:sqref>
        </x14:conditionalFormatting>
        <x14:conditionalFormatting xmlns:xm="http://schemas.microsoft.com/office/excel/2006/main">
          <x14:cfRule type="expression" priority="14077" id="{96E84A85-A8D1-4ADF-918E-E441211359CB}">
            <xm:f>AND(IF(Q118&gt;'F:\Users\norela.briceno\Documents\Plan de acción\Plan Accion 2018\[Plan Accion Integrado ADRES Vigencia 2018 con Cuadro de Mando V6..xlsx]Plan de Accion 2018'!#REF!,Q118&lt;&gt;¨N/A¨))</xm:f>
            <x14:dxf>
              <fill>
                <patternFill>
                  <bgColor theme="1" tint="0.499984740745262"/>
                </patternFill>
              </fill>
            </x14:dxf>
          </x14:cfRule>
          <x14:cfRule type="expression" priority="14078" stopIfTrue="1" id="{7F5945B6-C3B8-42BE-BA80-0639CF3782D2}">
            <xm:f>AND(IF(Q118='F:\Users\norela.briceno\Documents\Plan de acción\Plan Accion 2018\[Plan Accion Integrado ADRES Vigencia 2018 con Cuadro de Mando V6..xlsx]Plan de Accion 2018'!#REF!,Q118&lt;&gt;"N/A"))</xm:f>
            <x14:dxf>
              <fill>
                <patternFill>
                  <bgColor rgb="FF00B050"/>
                </patternFill>
              </fill>
            </x14:dxf>
          </x14:cfRule>
          <x14:cfRule type="expression" priority="14079" stopIfTrue="1" id="{B4E8FE5C-EBB5-46F9-B585-68C7606389B1}">
            <xm:f>AND(IF(Q118&lt;'F:\Users\norela.briceno\Documents\Plan de acción\Plan Accion 2018\[Plan Accion Integrado ADRES Vigencia 2018 con Cuadro de Mando V6..xlsx]Plan de Accion 2018'!#REF!,Q118&lt;&gt;"N/A"))</xm:f>
            <x14:dxf>
              <fill>
                <patternFill>
                  <bgColor indexed="10"/>
                </patternFill>
              </fill>
            </x14:dxf>
          </x14:cfRule>
          <xm:sqref>Q118:Q119</xm:sqref>
        </x14:conditionalFormatting>
        <x14:conditionalFormatting xmlns:xm="http://schemas.microsoft.com/office/excel/2006/main">
          <x14:cfRule type="expression" priority="14074" id="{E63EC1C9-7EBD-455E-9DF6-F11742D28D7A}">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14075" stopIfTrue="1" id="{4B907935-CDEF-4703-96A5-D20F4EB6A06F}">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14076" stopIfTrue="1" id="{32AA0DD3-9195-49E4-B4F7-9F4425802FB1}">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14071" id="{95AC7BE9-8445-4724-9A2B-1DD720A3828E}">
            <xm:f>AND(IF(AE118&gt;'F:\Users\norela.briceno\Documents\Plan de acción\Plan Accion 2018\[Plan Accion Integrado ADRES Vigencia 2018 con Cuadro de Mando V6..xlsx]Plan de Accion 2018'!#REF!,AE118&lt;&gt;¨N/A¨))</xm:f>
            <x14:dxf>
              <fill>
                <patternFill>
                  <bgColor theme="1" tint="0.499984740745262"/>
                </patternFill>
              </fill>
            </x14:dxf>
          </x14:cfRule>
          <x14:cfRule type="expression" priority="14072" stopIfTrue="1" id="{C8B2E0D7-5A7C-405B-BCB5-9C154BA2197D}">
            <xm:f>AND(IF(AE118='F:\Users\norela.briceno\Documents\Plan de acción\Plan Accion 2018\[Plan Accion Integrado ADRES Vigencia 2018 con Cuadro de Mando V6..xlsx]Plan de Accion 2018'!#REF!,AE118&lt;&gt;"N/A"))</xm:f>
            <x14:dxf>
              <fill>
                <patternFill>
                  <bgColor rgb="FF00B050"/>
                </patternFill>
              </fill>
            </x14:dxf>
          </x14:cfRule>
          <x14:cfRule type="expression" priority="14073" stopIfTrue="1" id="{B54586AB-D094-44AF-9C60-5EAE48D719C6}">
            <xm:f>AND(IF(AE118&lt;'F:\Users\norela.briceno\Documents\Plan de acción\Plan Accion 2018\[Plan Accion Integrado ADRES Vigencia 2018 con Cuadro de Mando V6..xlsx]Plan de Accion 2018'!#REF!,AE118&lt;&gt;"N/A"))</xm:f>
            <x14:dxf>
              <fill>
                <patternFill>
                  <bgColor indexed="10"/>
                </patternFill>
              </fill>
            </x14:dxf>
          </x14:cfRule>
          <xm:sqref>AE118:AE119</xm:sqref>
        </x14:conditionalFormatting>
        <x14:conditionalFormatting xmlns:xm="http://schemas.microsoft.com/office/excel/2006/main">
          <x14:cfRule type="expression" priority="13833" id="{7297B0F6-BE73-4CCC-A042-D26EA8CFE6D2}">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834" stopIfTrue="1" id="{EFAD7420-55B7-43A2-A1DB-4B76B8D762B5}">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835" stopIfTrue="1" id="{BE390E43-647D-4F7E-918E-E9E53B34E0A7}">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3830" id="{205C9F47-AA63-4495-A188-F9F82D1E0CA5}">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831" stopIfTrue="1" id="{EE349937-4810-4765-A4B7-BCC187867CE2}">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832" stopIfTrue="1" id="{CC062B61-6CF7-48DD-B327-167048940045}">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3827" id="{D3DBD128-39AB-43BA-9DD1-45F01CE378B2}">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3828" stopIfTrue="1" id="{67E87854-CA43-48A9-B6B4-E0307AA88FBB}">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3829" stopIfTrue="1" id="{09C36372-661A-492B-BC33-54EE731C8066}">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3824" id="{44077BD7-1FDC-4B1F-8E7D-826B7DD64937}">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3825" stopIfTrue="1" id="{392DB548-6FB3-4FEA-9CD5-0770C1131164}">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3826" stopIfTrue="1" id="{E2FDE6B0-E42B-4375-9DFC-5370991E9EFF}">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3821" id="{B9FE1234-3181-4216-933F-D0062C2974B0}">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3822" stopIfTrue="1" id="{469A97B9-2512-4CDC-8056-AA297032EB4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3823" stopIfTrue="1" id="{FAE651FF-2EEB-4363-82A9-F689BFF982DE}">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3738" id="{7926FE22-2995-4E51-B818-A25C7D0AF7B6}">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3739" stopIfTrue="1" id="{35E70380-2D43-446A-ACD5-F8B68008283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3740" stopIfTrue="1" id="{B2387472-0577-48EC-8832-A3D0EAD0D0F6}">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13735" id="{4228F7E5-3DE9-43BD-9BFE-997DF0B6FB8A}">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13736" stopIfTrue="1" id="{2CB281CD-6724-4A85-9848-DD5AFB42056D}">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13737" stopIfTrue="1" id="{70D39E03-FFB9-45E7-96F8-AFC091CBAF82}">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13732" id="{AD495438-792F-4E30-936E-81E6A8FA5777}">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13733" stopIfTrue="1" id="{A16BD7B5-7B44-4268-A65B-BD3DB47752BE}">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13734" stopIfTrue="1" id="{AD498195-6575-4CF8-B94F-E9B102E30D3C}">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13729" id="{B090EC68-3CE7-43B6-A0D3-0DB636FA4EE6}">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13730" stopIfTrue="1" id="{6F7A52DC-0353-46A0-B336-21A1A7055D31}">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13731" stopIfTrue="1" id="{AA9C5935-C2B2-4C22-85F3-5F798A542C54}">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13726" id="{1BD48536-521E-4113-AD73-1A293762BEB8}">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13727" stopIfTrue="1" id="{59A3A163-377B-428D-A5AB-85C12F7B3C54}">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13728" stopIfTrue="1" id="{6A5D46F7-B0B2-47C9-91C6-215320CA0F3B}">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13297" id="{86CE8B8A-777E-4C5C-85FC-4F5199AA7190}">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13298" stopIfTrue="1" id="{6C326B98-F85A-4692-A70B-ECE703E760B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13299" stopIfTrue="1" id="{75FF7377-4C52-4720-BEA2-2478E701E33A}">
            <xm:f>AND(IF(Q270&lt;'F:\Users\norela.briceno\Documents\Plan de acción\Plan Accion 2018\[Plan Accion Integrado ADRES Vigencia 2018 con Cuadro de Mando V6..xlsx]Plan de Accion 2018'!#REF!,Q270&lt;&gt;"N/A"))</xm:f>
            <x14:dxf>
              <fill>
                <patternFill>
                  <bgColor indexed="10"/>
                </patternFill>
              </fill>
            </x14:dxf>
          </x14:cfRule>
          <xm:sqref>Q270 X270 AE270</xm:sqref>
        </x14:conditionalFormatting>
        <x14:conditionalFormatting xmlns:xm="http://schemas.microsoft.com/office/excel/2006/main">
          <x14:cfRule type="expression" priority="13181" id="{B498F48D-668B-4604-89A3-5535E257CE22}">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13182" stopIfTrue="1" id="{A52FD756-8E80-47BC-8DF5-477E92BDA10F}">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13183" stopIfTrue="1" id="{BD89FB49-3FF4-4CE9-B84B-A8A69E5253CC}">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13178" id="{12738314-8AF3-4D43-8A85-62FE81996449}">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13179" stopIfTrue="1" id="{330F60C8-FAC7-432D-B7E0-B23DA96894F6}">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13180" stopIfTrue="1" id="{02EF9788-F58F-49B5-9653-0F98EF9839D3}">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13175" id="{4073E6DA-67EE-4EA3-97CD-6DEC2BBB7BA9}">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13176" stopIfTrue="1" id="{D53CA729-7D72-4521-9852-7BEBF671A1E4}">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13177" stopIfTrue="1" id="{196DAB96-28AF-4C68-8462-A15001A86183}">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13172" id="{E3BC53D6-1C11-4304-B0C5-0666D0B2EA7F}">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13173" stopIfTrue="1" id="{5D72DDAB-F038-45E0-8125-8DD4E48506E5}">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13174" stopIfTrue="1" id="{9A7B0834-7225-4E81-A2B3-74A0446FEA1A}">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12221" id="{BB1DEA91-DB21-48BB-971A-F3CD09F84B28}">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12222" stopIfTrue="1" id="{DD27D550-F108-4195-9B2E-715209D249A2}">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12223" stopIfTrue="1" id="{359BA309-402F-47FE-8633-9BEDD44E7F35}">
            <xm:f>AND(IF(J185&lt;'F:\Users\norela.briceno\Documents\Plan de acción\Plan Accion 2018\[Plan Accion Integrado ADRES Vigencia 2018 con Cuadro de Mando V6..xlsx]Plan de Accion 2018'!#REF!,J185&lt;&gt;"N/A"))</xm:f>
            <x14:dxf>
              <fill>
                <patternFill>
                  <bgColor indexed="10"/>
                </patternFill>
              </fill>
            </x14:dxf>
          </x14:cfRule>
          <xm:sqref>J185 Q185 X185 AE185</xm:sqref>
        </x14:conditionalFormatting>
        <x14:conditionalFormatting xmlns:xm="http://schemas.microsoft.com/office/excel/2006/main">
          <x14:cfRule type="expression" priority="12163" id="{2FBA290D-C523-4432-A71B-87A0E866E5E3}">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12164" stopIfTrue="1" id="{5C9CB2C4-BC7D-4DB3-A111-0B0D264C4DB2}">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12165" stopIfTrue="1" id="{4295D51C-4057-42B7-8759-A44E26E2B48B}">
            <xm:f>AND(IF(J187&lt;'F:\Users\norela.briceno\Documents\Plan de acción\Plan Accion 2018\[Plan Accion Integrado ADRES Vigencia 2018 con Cuadro de Mando V6..xlsx]Plan de Accion 2018'!#REF!,J187&lt;&gt;"N/A"))</xm:f>
            <x14:dxf>
              <fill>
                <patternFill>
                  <bgColor indexed="10"/>
                </patternFill>
              </fill>
            </x14:dxf>
          </x14:cfRule>
          <xm:sqref>J187 Q187 X187 AE187</xm:sqref>
        </x14:conditionalFormatting>
        <x14:conditionalFormatting xmlns:xm="http://schemas.microsoft.com/office/excel/2006/main">
          <x14:cfRule type="expression" priority="12060" id="{9633AC76-3A1F-4227-A6BD-A41A6D17BD9E}">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12061" stopIfTrue="1" id="{DC66EB59-7474-4889-B198-D5B72C6485D1}">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12062" stopIfTrue="1" id="{5BBA468C-7ABE-4F2B-AC1D-ECC735FFAADF}">
            <xm:f>AND(IF(J188&lt;'F:\Users\norela.briceno\Documents\Plan de acción\Plan Accion 2018\[Plan Accion Integrado ADRES Vigencia 2018 con Cuadro de Mando V6..xlsx]Plan de Accion 2018'!#REF!,J188&lt;&gt;"N/A"))</xm:f>
            <x14:dxf>
              <fill>
                <patternFill>
                  <bgColor indexed="10"/>
                </patternFill>
              </fill>
            </x14:dxf>
          </x14:cfRule>
          <xm:sqref>J188:J191 Q188:Q191 X188:X191 AE188:AE190 J194:J195 Q194:Q195 X194:X195 AE194:AE195</xm:sqref>
        </x14:conditionalFormatting>
        <x14:conditionalFormatting xmlns:xm="http://schemas.microsoft.com/office/excel/2006/main">
          <x14:cfRule type="expression" priority="11836" id="{A45C105C-2A49-45D3-AE8A-33CEB14F76C0}">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1837" stopIfTrue="1" id="{4C32F10F-A452-420F-83C2-DE7A34FA1A2E}">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1838" stopIfTrue="1" id="{4FF9BA86-B65B-42F3-A0D1-D62FBE2FA709}">
            <xm:f>AND(IF(J283&lt;'F:\Users\norela.briceno\Documents\Plan de acción\Plan Accion 2018\[Plan Accion Integrado ADRES Vigencia 2018 con Cuadro de Mando V6..xlsx]Plan de Accion 2018'!#REF!,J283&lt;&gt;"N/A"))</xm:f>
            <x14:dxf>
              <fill>
                <patternFill>
                  <bgColor indexed="10"/>
                </patternFill>
              </fill>
            </x14:dxf>
          </x14:cfRule>
          <xm:sqref>J283:J284 Q283:Q284 X283:X284 AE283:AE284 AE287 X287 Q287 J287</xm:sqref>
        </x14:conditionalFormatting>
        <x14:conditionalFormatting xmlns:xm="http://schemas.microsoft.com/office/excel/2006/main">
          <x14:cfRule type="expression" priority="11773" id="{CF2C4B7F-A253-4790-8F65-5E84A4F75B46}">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774" stopIfTrue="1" id="{033B4C75-25E4-4D6F-88AD-D9BAA3DF720A}">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775" stopIfTrue="1" id="{659F863F-AA4C-498C-B66C-66E7CE2A2370}">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1770" id="{3658FB8C-28BC-4401-B0F2-B796185BAC2F}">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771" stopIfTrue="1" id="{E0C5F6DD-084B-4CD2-A042-2DE6EB29D7A0}">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772" stopIfTrue="1" id="{7228D932-5428-4901-AB21-2A6E859C9DED}">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1767" id="{91E37C97-931C-4089-BE0F-8560F36AF848}">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1768" stopIfTrue="1" id="{F477F5C4-53F0-441E-AD10-76545EE9BEB4}">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1769" stopIfTrue="1" id="{A4C60913-8BA8-4335-9E9D-9EFCAEC73959}">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1764" id="{ED5381FD-FD88-4D09-BF60-1B32DA93C9D9}">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1765" stopIfTrue="1" id="{BD68C0CA-3440-495A-8473-4B125D670725}">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1766" stopIfTrue="1" id="{E1EDF770-F129-46D0-9EFE-25532079EEDA}">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1761" id="{A454F945-8A2D-40E2-8A76-0A7AD3BE76AC}">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1762" stopIfTrue="1" id="{72FE9218-C7CD-4BBD-AF52-8A8BCE52486D}">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1763" stopIfTrue="1" id="{FC9C61A6-DB59-47ED-97E2-90F3C10A2A2C}">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1698" id="{782E4834-7DAD-4C16-AF51-B22D8EF0562A}">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699" stopIfTrue="1" id="{89C95779-BD3D-4879-AD12-551957F0370C}">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700" stopIfTrue="1" id="{945FF42D-3F93-4FDB-94B3-638DB42A7CB8}">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1695" id="{88A62AFE-5533-4106-AFDF-E11DF18E1782}">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696" stopIfTrue="1" id="{4877D6F2-2231-4987-B7E8-EE9D25EC4827}">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697" stopIfTrue="1" id="{2251D3BE-A8FC-4E9B-8662-D08EA88D9C75}">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1692" id="{A413909D-5572-43AA-B2CF-B194DE0E8D9F}">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1693" stopIfTrue="1" id="{B462D742-5C36-4BB4-8D74-916143FBA5E0}">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1694" stopIfTrue="1" id="{BFD5C913-1E75-4250-8EA7-8DFA11019B87}">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1689" id="{2DCFCAAA-0FA4-4F5E-AFDB-0833478A196C}">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1690" stopIfTrue="1" id="{F1E7EB48-06AB-411A-81A3-EFFA073BB575}">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1691" stopIfTrue="1" id="{1831E6AA-4D78-4899-B4E1-7C4935AE9FA8}">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1686" id="{9B265DC5-D75A-46B9-AD53-3EEB3B9E79D8}">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1687" stopIfTrue="1" id="{BF80F981-1497-4122-8258-CBCE0F9EE5A5}">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1688" stopIfTrue="1" id="{C9560BBE-2BDB-40C5-9026-599B8ACE2597}">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1623" id="{8CF43DB3-0218-4140-B29D-A00C83ABD463}">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624" stopIfTrue="1" id="{CD212740-506B-46C9-B941-9FA42EC40827}">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625" stopIfTrue="1" id="{126313E7-74AA-4BAC-9AC9-F4C7D13D03D8}">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1620" id="{8D23BECE-BA99-456B-A1B4-7915472D07E0}">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621" stopIfTrue="1" id="{5F521D38-815F-4BDF-ADC3-723A59209A5D}">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622" stopIfTrue="1" id="{27F484E9-0630-4D7F-B2BC-DCF1D2644D42}">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1617" id="{2706EC46-81E0-4666-901F-32180D731BAC}">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1618" stopIfTrue="1" id="{0546FBE7-E65A-4B5B-8CE2-5FF0EAED6814}">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1619" stopIfTrue="1" id="{FCDCB31E-292E-47BF-AC2A-A06AA30656A9}">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1614" id="{B7CE00CC-CA22-418C-B434-8295573BC15A}">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1615" stopIfTrue="1" id="{C0CC77B7-A1FE-4F3A-B7D9-C1A0F72D916E}">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1616" stopIfTrue="1" id="{CC7299D0-8CC8-4592-A3E9-9C70AABB5367}">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1611" id="{9D8207DC-7655-4CBA-8EE2-20F12F4D7595}">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1612" stopIfTrue="1" id="{3C6F4E30-1FDE-494E-B2FA-FD183E861252}">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1613" stopIfTrue="1" id="{D9734DE6-8A3B-46A4-82EC-C4C79B8F3773}">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1548" id="{BAFB9ACE-05FD-4BC1-86A2-A312858DA5C8}">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549" stopIfTrue="1" id="{688FA089-0210-4CB0-B3F6-4CC0CAC31297}">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550" stopIfTrue="1" id="{71182BEC-C747-4FF1-B2A0-8194192D9E2E}">
            <xm:f>AND(IF(J130&lt;'F:\Users\norela.briceno\Documents\Plan de acción\Plan Accion 2018\[Plan Accion Integrado ADRES Vigencia 2018 con Cuadro de Mando V6..xlsx]Plan de Accion 2018'!#REF!,J130&lt;&gt;"N/A"))</xm:f>
            <x14:dxf>
              <fill>
                <patternFill>
                  <bgColor indexed="10"/>
                </patternFill>
              </fill>
            </x14:dxf>
          </x14:cfRule>
          <xm:sqref>J130 Q130 AE130 X130</xm:sqref>
        </x14:conditionalFormatting>
        <x14:conditionalFormatting xmlns:xm="http://schemas.microsoft.com/office/excel/2006/main">
          <x14:cfRule type="expression" priority="11545" id="{C4566868-652E-4E27-9C22-32AC9F56595B}">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546" stopIfTrue="1" id="{4E411B8E-5635-4A8D-97BD-6CA0D13C59A6}">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547" stopIfTrue="1" id="{3BB6E145-B0CD-4E3E-B679-35F7ACEA31AE}">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1542" id="{68D47C45-0DC0-4437-B276-52250C62DDF0}">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11543" stopIfTrue="1" id="{616966DB-96AB-4B85-9BA1-8FA54CF95ECE}">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11544" stopIfTrue="1" id="{DC5C5C1C-EE4E-4795-886F-6516D8C478F6}">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11539" id="{22FA5A24-0892-482D-8E00-A0E4E8073A07}">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11540" stopIfTrue="1" id="{3C62B3FF-50A5-4433-8226-7A96F1DD4C2D}">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11541" stopIfTrue="1" id="{8C74935A-5F08-4FCC-94A2-120856131D70}">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11536" id="{B1475039-7F9A-4172-88F2-46717A7A709E}">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11537" stopIfTrue="1" id="{A5932076-8B86-45D2-A953-A361B8DF46E1}">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11538" stopIfTrue="1" id="{7A78EF05-7C62-4AA2-91AD-BE116291B4EC}">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11473" id="{345FDADD-7F8F-482C-A6CD-A7D6CC1EFDCB}">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474" stopIfTrue="1" id="{EA2517A4-FB06-4548-8593-E8EF7D3BCD83}">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475" stopIfTrue="1" id="{45515485-A3E2-4761-8337-DCE0F77294F2}">
            <xm:f>AND(IF(J131&lt;'F:\Users\norela.briceno\Documents\Plan de acción\Plan Accion 2018\[Plan Accion Integrado ADRES Vigencia 2018 con Cuadro de Mando V6..xlsx]Plan de Accion 2018'!#REF!,J131&lt;&gt;"N/A"))</xm:f>
            <x14:dxf>
              <fill>
                <patternFill>
                  <bgColor indexed="10"/>
                </patternFill>
              </fill>
            </x14:dxf>
          </x14:cfRule>
          <xm:sqref>J131 Q131 AE131 X131</xm:sqref>
        </x14:conditionalFormatting>
        <x14:conditionalFormatting xmlns:xm="http://schemas.microsoft.com/office/excel/2006/main">
          <x14:cfRule type="expression" priority="11470" id="{4EDD34F0-4064-4E35-925A-1E6A03959CEA}">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471" stopIfTrue="1" id="{8D1DC3C2-8550-421B-BEDB-D7AC87A06BD8}">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472" stopIfTrue="1" id="{320B4BAA-2542-47A9-9D77-51AC705062BA}">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1467" id="{74446AF8-2983-4A7F-9007-0A1C02CBF0BF}">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1468" stopIfTrue="1" id="{A9E34C62-635E-4344-B123-D799AC94ABAC}">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1469" stopIfTrue="1" id="{B29F14C2-D20D-4E53-B6BA-BB950632B9B0}">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1464" id="{650931FF-D608-439A-BE9B-24636D01892B}">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1465" stopIfTrue="1" id="{5741FDAB-E186-4657-85A8-0C0699D80AC3}">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1466" stopIfTrue="1" id="{FCEEF355-FF58-4EFC-8FCF-6CBDBA27273C}">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1461" id="{E2EA5FDB-54F0-4BD5-A2D2-8859486BD2FE}">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1462" stopIfTrue="1" id="{382AE90A-4427-472D-97ED-51B37B20C0B0}">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1463" stopIfTrue="1" id="{02E45371-9C5D-4E28-A09B-8C243E013616}">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1398" id="{10B74661-DECF-4DA0-A6EB-0ACC5BC9A9FB}">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1399" stopIfTrue="1" id="{13F241C3-0439-4FDB-B321-E557CF6C5B76}">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1400" stopIfTrue="1" id="{BA2CAEA7-6800-4190-9ABD-1909AFBCD330}">
            <xm:f>AND(IF(J132&lt;'F:\Users\norela.briceno\Documents\Plan de acción\Plan Accion 2018\[Plan Accion Integrado ADRES Vigencia 2018 con Cuadro de Mando V6..xlsx]Plan de Accion 2018'!#REF!,J132&lt;&gt;"N/A"))</xm:f>
            <x14:dxf>
              <fill>
                <patternFill>
                  <bgColor indexed="10"/>
                </patternFill>
              </fill>
            </x14:dxf>
          </x14:cfRule>
          <xm:sqref>J132 Q132 AE132 X132</xm:sqref>
        </x14:conditionalFormatting>
        <x14:conditionalFormatting xmlns:xm="http://schemas.microsoft.com/office/excel/2006/main">
          <x14:cfRule type="expression" priority="11395" id="{DA4764F5-DEDC-4005-86DB-0991DC5AE45F}">
            <xm:f>AND(IF(J132&gt;'F:\Users\norela.briceno\Documents\Plan de acción\Plan Accion 2018\[Plan Accion Integrado ADRES Vigencia 2018 con Cuadro de Mando V6..xlsx]Plan de Accion 2018'!#REF!,J132&lt;&gt;¨N/A¨))</xm:f>
            <x14:dxf>
              <fill>
                <patternFill>
                  <bgColor theme="1" tint="0.499984740745262"/>
                </patternFill>
              </fill>
            </x14:dxf>
          </x14:cfRule>
          <x14:cfRule type="expression" priority="11396" stopIfTrue="1" id="{BD86F5C8-294D-41F9-8F21-A132BE1CE4FC}">
            <xm:f>AND(IF(J132='F:\Users\norela.briceno\Documents\Plan de acción\Plan Accion 2018\[Plan Accion Integrado ADRES Vigencia 2018 con Cuadro de Mando V6..xlsx]Plan de Accion 2018'!#REF!,J132&lt;&gt;"N/A"))</xm:f>
            <x14:dxf>
              <fill>
                <patternFill>
                  <bgColor rgb="FF00B050"/>
                </patternFill>
              </fill>
            </x14:dxf>
          </x14:cfRule>
          <x14:cfRule type="expression" priority="11397" stopIfTrue="1" id="{6D6BE3B4-E2B3-427A-8465-968AC720CED4}">
            <xm:f>AND(IF(J132&lt;'F:\Users\norela.briceno\Documents\Plan de acción\Plan Accion 2018\[Plan Accion Integrado ADRES Vigencia 2018 con Cuadro de Mando V6..xlsx]Plan de Accion 2018'!#REF!,J132&lt;&gt;"N/A"))</xm:f>
            <x14:dxf>
              <fill>
                <patternFill>
                  <bgColor indexed="10"/>
                </patternFill>
              </fill>
            </x14:dxf>
          </x14:cfRule>
          <xm:sqref>J132</xm:sqref>
        </x14:conditionalFormatting>
        <x14:conditionalFormatting xmlns:xm="http://schemas.microsoft.com/office/excel/2006/main">
          <x14:cfRule type="expression" priority="11392" id="{6ECC91BD-5A51-4821-A85E-323E4B0F35A6}">
            <xm:f>AND(IF(Q132&gt;'F:\Users\norela.briceno\Documents\Plan de acción\Plan Accion 2018\[Plan Accion Integrado ADRES Vigencia 2018 con Cuadro de Mando V6..xlsx]Plan de Accion 2018'!#REF!,Q132&lt;&gt;¨N/A¨))</xm:f>
            <x14:dxf>
              <fill>
                <patternFill>
                  <bgColor theme="1" tint="0.499984740745262"/>
                </patternFill>
              </fill>
            </x14:dxf>
          </x14:cfRule>
          <x14:cfRule type="expression" priority="11393" stopIfTrue="1" id="{CAA6DECE-62B4-4FBE-B02C-8E6DE640F97A}">
            <xm:f>AND(IF(Q132='F:\Users\norela.briceno\Documents\Plan de acción\Plan Accion 2018\[Plan Accion Integrado ADRES Vigencia 2018 con Cuadro de Mando V6..xlsx]Plan de Accion 2018'!#REF!,Q132&lt;&gt;"N/A"))</xm:f>
            <x14:dxf>
              <fill>
                <patternFill>
                  <bgColor rgb="FF00B050"/>
                </patternFill>
              </fill>
            </x14:dxf>
          </x14:cfRule>
          <x14:cfRule type="expression" priority="11394" stopIfTrue="1" id="{3A83D889-8706-4DE3-956D-89156E686470}">
            <xm:f>AND(IF(Q132&lt;'F:\Users\norela.briceno\Documents\Plan de acción\Plan Accion 2018\[Plan Accion Integrado ADRES Vigencia 2018 con Cuadro de Mando V6..xlsx]Plan de Accion 2018'!#REF!,Q132&lt;&gt;"N/A"))</xm:f>
            <x14:dxf>
              <fill>
                <patternFill>
                  <bgColor indexed="10"/>
                </patternFill>
              </fill>
            </x14:dxf>
          </x14:cfRule>
          <xm:sqref>Q132</xm:sqref>
        </x14:conditionalFormatting>
        <x14:conditionalFormatting xmlns:xm="http://schemas.microsoft.com/office/excel/2006/main">
          <x14:cfRule type="expression" priority="11389" id="{B0C872D9-EB57-4455-966E-ADCF3340E2F7}">
            <xm:f>AND(IF(X132&gt;'F:\Users\norela.briceno\Documents\Plan de acción\Plan Accion 2018\[Plan Accion Integrado ADRES Vigencia 2018 con Cuadro de Mando V6..xlsx]Plan de Accion 2018'!#REF!,X132&lt;&gt;¨N/A¨))</xm:f>
            <x14:dxf>
              <fill>
                <patternFill>
                  <bgColor theme="1" tint="0.499984740745262"/>
                </patternFill>
              </fill>
            </x14:dxf>
          </x14:cfRule>
          <x14:cfRule type="expression" priority="11390" stopIfTrue="1" id="{09A8D678-B386-46FA-806C-8315863C8204}">
            <xm:f>AND(IF(X132='F:\Users\norela.briceno\Documents\Plan de acción\Plan Accion 2018\[Plan Accion Integrado ADRES Vigencia 2018 con Cuadro de Mando V6..xlsx]Plan de Accion 2018'!#REF!,X132&lt;&gt;"N/A"))</xm:f>
            <x14:dxf>
              <fill>
                <patternFill>
                  <bgColor rgb="FF00B050"/>
                </patternFill>
              </fill>
            </x14:dxf>
          </x14:cfRule>
          <x14:cfRule type="expression" priority="11391" stopIfTrue="1" id="{37D62358-E5D0-4946-8216-BDF22682BD7B}">
            <xm:f>AND(IF(X132&lt;'F:\Users\norela.briceno\Documents\Plan de acción\Plan Accion 2018\[Plan Accion Integrado ADRES Vigencia 2018 con Cuadro de Mando V6..xlsx]Plan de Accion 2018'!#REF!,X132&lt;&gt;"N/A"))</xm:f>
            <x14:dxf>
              <fill>
                <patternFill>
                  <bgColor indexed="10"/>
                </patternFill>
              </fill>
            </x14:dxf>
          </x14:cfRule>
          <xm:sqref>X132</xm:sqref>
        </x14:conditionalFormatting>
        <x14:conditionalFormatting xmlns:xm="http://schemas.microsoft.com/office/excel/2006/main">
          <x14:cfRule type="expression" priority="11386" id="{33DB1820-9E39-42EE-A288-56AFD16C2A0C}">
            <xm:f>AND(IF(AE132&gt;'F:\Users\norela.briceno\Documents\Plan de acción\Plan Accion 2018\[Plan Accion Integrado ADRES Vigencia 2018 con Cuadro de Mando V6..xlsx]Plan de Accion 2018'!#REF!,AE132&lt;&gt;¨N/A¨))</xm:f>
            <x14:dxf>
              <fill>
                <patternFill>
                  <bgColor theme="1" tint="0.499984740745262"/>
                </patternFill>
              </fill>
            </x14:dxf>
          </x14:cfRule>
          <x14:cfRule type="expression" priority="11387" stopIfTrue="1" id="{3D8DBBB0-283B-42EF-BC8C-C00F5F2A8FE2}">
            <xm:f>AND(IF(AE132='F:\Users\norela.briceno\Documents\Plan de acción\Plan Accion 2018\[Plan Accion Integrado ADRES Vigencia 2018 con Cuadro de Mando V6..xlsx]Plan de Accion 2018'!#REF!,AE132&lt;&gt;"N/A"))</xm:f>
            <x14:dxf>
              <fill>
                <patternFill>
                  <bgColor rgb="FF00B050"/>
                </patternFill>
              </fill>
            </x14:dxf>
          </x14:cfRule>
          <x14:cfRule type="expression" priority="11388" stopIfTrue="1" id="{416C0F02-6A67-4560-B2E9-8E65F4B12CA8}">
            <xm:f>AND(IF(AE132&lt;'F:\Users\norela.briceno\Documents\Plan de acción\Plan Accion 2018\[Plan Accion Integrado ADRES Vigencia 2018 con Cuadro de Mando V6..xlsx]Plan de Accion 2018'!#REF!,AE132&lt;&gt;"N/A"))</xm:f>
            <x14:dxf>
              <fill>
                <patternFill>
                  <bgColor indexed="10"/>
                </patternFill>
              </fill>
            </x14:dxf>
          </x14:cfRule>
          <xm:sqref>AE132</xm:sqref>
        </x14:conditionalFormatting>
        <x14:conditionalFormatting xmlns:xm="http://schemas.microsoft.com/office/excel/2006/main">
          <x14:cfRule type="expression" priority="11323" id="{95E31C7C-BFB5-431B-98E2-787EB1E03027}">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11324" stopIfTrue="1" id="{A9B2D0FF-8D2A-4C3E-A3CD-868E70C9F84E}">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11325" stopIfTrue="1" id="{EE45E443-5FB9-4506-896E-8022BB59AA38}">
            <xm:f>AND(IF(J196&lt;'F:\Users\norela.briceno\Documents\Plan de acción\Plan Accion 2018\[Plan Accion Integrado ADRES Vigencia 2018 con Cuadro de Mando V6..xlsx]Plan de Accion 2018'!#REF!,J196&lt;&gt;"N/A"))</xm:f>
            <x14:dxf>
              <fill>
                <patternFill>
                  <bgColor indexed="10"/>
                </patternFill>
              </fill>
            </x14:dxf>
          </x14:cfRule>
          <xm:sqref>J196 Q196 X196 AE196</xm:sqref>
        </x14:conditionalFormatting>
        <x14:conditionalFormatting xmlns:xm="http://schemas.microsoft.com/office/excel/2006/main">
          <x14:cfRule type="expression" priority="11220" id="{3FA35CF8-1E0A-42C8-9397-A39A41AF6741}">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11221" stopIfTrue="1" id="{E07CA0F3-60AD-4A30-9B30-C62EE5DC2373}">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11222" stopIfTrue="1" id="{1A4E7518-EAE7-46E1-946C-FB2DED991932}">
            <xm:f>AND(IF(J288&lt;'F:\Users\norela.briceno\Documents\Plan de acción\Plan Accion 2018\[Plan Accion Integrado ADRES Vigencia 2018 con Cuadro de Mando V6..xlsx]Plan de Accion 2018'!#REF!,J288&lt;&gt;"N/A"))</xm:f>
            <x14:dxf>
              <fill>
                <patternFill>
                  <bgColor indexed="10"/>
                </patternFill>
              </fill>
            </x14:dxf>
          </x14:cfRule>
          <xm:sqref>J288 Q288 X288 AE288</xm:sqref>
        </x14:conditionalFormatting>
        <x14:conditionalFormatting xmlns:xm="http://schemas.microsoft.com/office/excel/2006/main">
          <x14:cfRule type="expression" priority="11157" id="{945D5B08-7867-4D7A-9593-19735A2D5490}">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1158" stopIfTrue="1" id="{BAE454C2-7892-49E4-B334-1DD65ED62880}">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1159" stopIfTrue="1" id="{1C167587-FD4E-449F-9F13-FAE22FEC69C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10968" id="{3DB16393-4112-40C2-ACB4-C5DBF3C1C15E}">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10969" stopIfTrue="1" id="{4ABFA1EC-1377-43AE-9592-A3E3FC115AAC}">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10970" stopIfTrue="1" id="{AC8E1CDE-380B-4F2A-943B-766F6666EC75}">
            <xm:f>AND(IF(J296&lt;'F:\Users\norela.briceno\Documents\Plan de acción\Plan Accion 2018\[Plan Accion Integrado ADRES Vigencia 2018 con Cuadro de Mando V6..xlsx]Plan de Accion 2018'!#REF!,J296&lt;&gt;"N/A"))</xm:f>
            <x14:dxf>
              <fill>
                <patternFill>
                  <bgColor indexed="10"/>
                </patternFill>
              </fill>
            </x14:dxf>
          </x14:cfRule>
          <xm:sqref>J296 Q296 X296 AE296</xm:sqref>
        </x14:conditionalFormatting>
        <x14:conditionalFormatting xmlns:xm="http://schemas.microsoft.com/office/excel/2006/main">
          <x14:cfRule type="expression" priority="10651" id="{DA9804C3-F419-4F03-8472-CEF23CF6863C}">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10652" stopIfTrue="1" id="{33FF15E7-8C6E-4073-A86E-6182ADC67501}">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10653" stopIfTrue="1" id="{12EA96DF-AB98-413F-9170-6142D1EE7770}">
            <xm:f>AND(IF(Q300&lt;'F:\Users\norela.briceno\Documents\Plan de acción\Plan Accion 2018\[Plan Accion Integrado ADRES Vigencia 2018 con Cuadro de Mando V6..xlsx]Plan de Accion 2018'!#REF!,Q300&lt;&gt;"N/A"))</xm:f>
            <x14:dxf>
              <fill>
                <patternFill>
                  <bgColor indexed="10"/>
                </patternFill>
              </fill>
            </x14:dxf>
          </x14:cfRule>
          <xm:sqref>Q300 X300 AE300</xm:sqref>
        </x14:conditionalFormatting>
        <x14:conditionalFormatting xmlns:xm="http://schemas.microsoft.com/office/excel/2006/main">
          <x14:cfRule type="expression" priority="9761" id="{7FBC66E1-80BF-4EC2-846C-CEF70A797407}">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9762" stopIfTrue="1" id="{B6DBF9F6-2D89-425D-80A7-9FB2AF09A9BC}">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9763" stopIfTrue="1" id="{CB724BC3-B644-4DD7-BDD4-1EDC670D319A}">
            <xm:f>AND(IF(J302&lt;'F:\Users\norela.briceno\Documents\Plan de acción\Plan Accion 2018\[Plan Accion Integrado ADRES Vigencia 2018 con Cuadro de Mando V6..xlsx]Plan de Accion 2018'!#REF!,J302&lt;&gt;"N/A"))</xm:f>
            <x14:dxf>
              <fill>
                <patternFill>
                  <bgColor indexed="10"/>
                </patternFill>
              </fill>
            </x14:dxf>
          </x14:cfRule>
          <xm:sqref>J302 Q302 X302 AE302</xm:sqref>
        </x14:conditionalFormatting>
        <x14:conditionalFormatting xmlns:xm="http://schemas.microsoft.com/office/excel/2006/main">
          <x14:cfRule type="expression" priority="9673" id="{E6815D59-EC6B-469B-BA39-F4832B6FAB07}">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9674" stopIfTrue="1" id="{6B638114-E0DA-4E6F-BA05-A0224FB60265}">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9675" stopIfTrue="1" id="{F9583275-9359-4C02-ABBC-65F156299A99}">
            <xm:f>AND(IF(J304&lt;'F:\Users\norela.briceno\Documents\Plan de acción\Plan Accion 2018\[Plan Accion Integrado ADRES Vigencia 2018 con Cuadro de Mando V6..xlsx]Plan de Accion 2018'!#REF!,J304&lt;&gt;"N/A"))</xm:f>
            <x14:dxf>
              <fill>
                <patternFill>
                  <bgColor indexed="10"/>
                </patternFill>
              </fill>
            </x14:dxf>
          </x14:cfRule>
          <xm:sqref>J304 Q304 X304 AE304</xm:sqref>
        </x14:conditionalFormatting>
        <x14:conditionalFormatting xmlns:xm="http://schemas.microsoft.com/office/excel/2006/main">
          <x14:cfRule type="expression" priority="9527" id="{7E34D8BF-FB72-4755-942F-CA87596B1D7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9528" stopIfTrue="1" id="{16E8DCA2-C25C-482B-AD38-1E8A172A093E}">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9529" stopIfTrue="1" id="{A531E29E-7E36-4CFD-A7DE-B98A7F6CDAA2}">
            <xm:f>AND(IF(J204&lt;'F:\Users\norela.briceno\Documents\Plan de acción\Plan Accion 2018\[Plan Accion Integrado ADRES Vigencia 2018 con Cuadro de Mando V6..xlsx]Plan de Accion 2018'!#REF!,J204&lt;&gt;"N/A"))</xm:f>
            <x14:dxf>
              <fill>
                <patternFill>
                  <bgColor indexed="10"/>
                </patternFill>
              </fill>
            </x14:dxf>
          </x14:cfRule>
          <xm:sqref>J204 X204 Q204 AE204</xm:sqref>
        </x14:conditionalFormatting>
        <x14:conditionalFormatting xmlns:xm="http://schemas.microsoft.com/office/excel/2006/main">
          <x14:cfRule type="expression" priority="9038" id="{244013CA-38AE-4D52-9489-69B43CEFDBCD}">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9039" stopIfTrue="1" id="{D3E6DFF6-8AEA-4050-BAA5-CE675D2FA083}">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9040" stopIfTrue="1" id="{302F416C-3D19-48F1-81F6-1B946C3503E0}">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9035" id="{0A44516A-C574-4507-BDA0-780D8F369963}">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9036" stopIfTrue="1" id="{7278FCE0-F109-4F2A-97F5-7CF72E3E5BDA}">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9037" stopIfTrue="1" id="{8F1E022E-ED9A-476A-86CE-7A6073AAEBA7}">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9032" id="{6F5D7FE3-5B01-41C5-9787-3AEF31C470EB}">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9033" stopIfTrue="1" id="{B5466192-6917-4AE5-8BC0-81BABE0A119F}">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9034" stopIfTrue="1" id="{5F9AC662-6C05-475E-ADF2-EC4D887A5B93}">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9029" id="{C194BB4B-286D-44AB-AE2D-36F8F89FD8D8}">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9030" stopIfTrue="1" id="{49513C92-228F-4E81-A3F3-5D3F1D4FAA58}">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9031" stopIfTrue="1" id="{D6A6ECFB-0D27-47AA-866E-7BBF297E30CC}">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9026" id="{B4933F25-B068-4196-BDF4-EE650820DF1F}">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9027" stopIfTrue="1" id="{E1544D23-1B1B-4972-B28D-863AB422394F}">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9028" stopIfTrue="1" id="{DC4ABF4E-4363-4BBE-B0FD-472C4254AD8E}">
            <xm:f>AND(IF(J161&lt;'F:\Users\norela.briceno\Documents\Plan de acción\Plan Accion 2018\[Plan Accion Integrado ADRES Vigencia 2018 con Cuadro de Mando V6..xlsx]Plan de Accion 2018'!#REF!,J161&lt;&gt;"N/A"))</xm:f>
            <x14:dxf>
              <fill>
                <patternFill>
                  <bgColor indexed="10"/>
                </patternFill>
              </fill>
            </x14:dxf>
          </x14:cfRule>
          <xm:sqref>J161</xm:sqref>
        </x14:conditionalFormatting>
        <x14:conditionalFormatting xmlns:xm="http://schemas.microsoft.com/office/excel/2006/main">
          <x14:cfRule type="expression" priority="9017" id="{2F1763D9-FDB3-4275-BAF9-E07CA7D8B7D6}">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9018" stopIfTrue="1" id="{2CDD399C-58CF-4CB6-9D17-2374E6718AB7}">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9019" stopIfTrue="1" id="{086F201D-692D-412C-9620-1A18F2381C17}">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9014" id="{65B84C80-6790-4144-834D-520DF6521BD9}">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9015" stopIfTrue="1" id="{2FB14098-50B8-45B9-A316-CF83EC7AD9BF}">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9016" stopIfTrue="1" id="{4CB19694-C269-4C9A-9C18-E4B7F7B5792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9011" id="{0FC0680F-D424-4763-AF68-63D1BB0C3523}">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9012" stopIfTrue="1" id="{B3270AAE-A6F8-47AA-943D-BB727CF4D9BE}">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9013" stopIfTrue="1" id="{19DF8F0C-AA38-4248-88C8-2ED596856E25}">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9008" id="{84ED6F0B-63EC-4F98-938D-6B1E3EB58A3D}">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9009" stopIfTrue="1" id="{437270FF-9920-4007-A600-AE2F375DF56E}">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9010" stopIfTrue="1" id="{549206F0-6038-403D-8993-45C30A683179}">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9005" id="{8B07F2E8-E93A-4291-BE82-631F8A3B54E1}">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9006" stopIfTrue="1" id="{AEFDDF29-B3A6-464A-83CE-D315D909C2B1}">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9007" stopIfTrue="1" id="{21603C01-0586-4D5C-9F5A-754484D86EEF}">
            <xm:f>AND(IF(J179&lt;'F:\Users\norela.briceno\Documents\Plan de acción\Plan Accion 2018\[Plan Accion Integrado ADRES Vigencia 2018 con Cuadro de Mando V6..xlsx]Plan de Accion 2018'!#REF!,J179&lt;&gt;"N/A"))</xm:f>
            <x14:dxf>
              <fill>
                <patternFill>
                  <bgColor indexed="10"/>
                </patternFill>
              </fill>
            </x14:dxf>
          </x14:cfRule>
          <xm:sqref>J179</xm:sqref>
        </x14:conditionalFormatting>
        <x14:conditionalFormatting xmlns:xm="http://schemas.microsoft.com/office/excel/2006/main">
          <x14:cfRule type="expression" priority="9002" id="{64C921EC-F54E-4029-804D-F123D9C46AE0}">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9003" stopIfTrue="1" id="{996275F5-3136-4EDD-B9C1-B1C637787B84}">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9004" stopIfTrue="1" id="{7176D2C9-B69A-4F1E-997B-ADE22BC352A0}">
            <xm:f>AND(IF(J181&lt;'F:\Users\norela.briceno\Documents\Plan de acción\Plan Accion 2018\[Plan Accion Integrado ADRES Vigencia 2018 con Cuadro de Mando V6..xlsx]Plan de Accion 2018'!#REF!,J181&lt;&gt;"N/A"))</xm:f>
            <x14:dxf>
              <fill>
                <patternFill>
                  <bgColor indexed="10"/>
                </patternFill>
              </fill>
            </x14:dxf>
          </x14:cfRule>
          <xm:sqref>J181</xm:sqref>
        </x14:conditionalFormatting>
        <x14:conditionalFormatting xmlns:xm="http://schemas.microsoft.com/office/excel/2006/main">
          <x14:cfRule type="expression" priority="8999" id="{B36A1453-8E22-47E9-9B03-131F3CB505BB}">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9000" stopIfTrue="1" id="{496A2E86-9B20-4282-B03A-42EFF1856F99}">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9001" stopIfTrue="1" id="{8994FDBD-3099-40CB-AE4F-8FDADFC50BC3}">
            <xm:f>AND(IF(J182&lt;'F:\Users\norela.briceno\Documents\Plan de acción\Plan Accion 2018\[Plan Accion Integrado ADRES Vigencia 2018 con Cuadro de Mando V6..xlsx]Plan de Accion 2018'!#REF!,J182&lt;&gt;"N/A"))</xm:f>
            <x14:dxf>
              <fill>
                <patternFill>
                  <bgColor indexed="10"/>
                </patternFill>
              </fill>
            </x14:dxf>
          </x14:cfRule>
          <xm:sqref>J182</xm:sqref>
        </x14:conditionalFormatting>
        <x14:conditionalFormatting xmlns:xm="http://schemas.microsoft.com/office/excel/2006/main">
          <x14:cfRule type="expression" priority="8996" id="{EE8E346B-16B3-40B7-BD2C-14F68D12069C}">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8997" stopIfTrue="1" id="{73406613-DC1D-4A13-9C0E-047B7285729C}">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8998" stopIfTrue="1" id="{1E56FBAB-59F0-4DA1-A38B-758E57D23242}">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8993" id="{10D8C890-F4A9-43CA-B9EE-C6554B0216A9}">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8994" stopIfTrue="1" id="{34961AB4-A1BB-4D51-BE8D-3BBF1455B7B9}">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8995" stopIfTrue="1" id="{E266C23A-AFF1-407D-AD35-A223FBA5D24D}">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8990" id="{A5349E4B-3664-41DE-A700-A4F3BCB05536}">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8991" stopIfTrue="1" id="{92F09422-AE9E-42A5-BD66-EE1343FB7DB5}">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8992" stopIfTrue="1" id="{F833357B-64A4-4C75-A907-09760FE6491C}">
            <xm:f>AND(IF(J192&lt;'F:\Users\norela.briceno\Documents\Plan de acción\Plan Accion 2018\[Plan Accion Integrado ADRES Vigencia 2018 con Cuadro de Mando V6..xlsx]Plan de Accion 2018'!#REF!,J192&lt;&gt;"N/A"))</xm:f>
            <x14:dxf>
              <fill>
                <patternFill>
                  <bgColor indexed="10"/>
                </patternFill>
              </fill>
            </x14:dxf>
          </x14:cfRule>
          <xm:sqref>J192</xm:sqref>
        </x14:conditionalFormatting>
        <x14:conditionalFormatting xmlns:xm="http://schemas.microsoft.com/office/excel/2006/main">
          <x14:cfRule type="expression" priority="8987" id="{585AC0E8-3FCA-4FFC-A396-98BC0BDB950F}">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8988" stopIfTrue="1" id="{5562F5A7-1CA3-49EB-A762-C54BA51E1685}">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8989" stopIfTrue="1" id="{D66B451A-925D-41D1-B7D1-01B9913D3107}">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8984" id="{89034EA8-9503-465B-8BD5-DB047D610FAE}">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8985" stopIfTrue="1" id="{6EE1873C-2283-4FC8-845D-6E5D0A2F684D}">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8986" stopIfTrue="1" id="{F273B2EF-CBCA-4A66-AFBF-33F99FEFD4F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8981" id="{31681521-7FA8-48D7-9D37-C0F23410B847}">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982" stopIfTrue="1" id="{E9CCC827-383C-4511-802B-4B925772C57D}">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983" stopIfTrue="1" id="{2362E2D8-2DF2-4757-9E8C-13BCC5B7A434}">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8978" id="{61C4930D-CEC1-4D25-956E-2D2222D36C6E}">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8979" stopIfTrue="1" id="{71C6CCC5-439E-4378-9E0D-FED69954626A}">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8980" stopIfTrue="1" id="{2C8A8C9E-226A-49FA-9D91-1DA2EAC3D185}">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8975" id="{2F07A60A-1441-46E4-ACCB-D7E93F49A422}">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8976" stopIfTrue="1" id="{7963294B-329E-40F0-B529-6C5F1811F3C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8977" stopIfTrue="1" id="{A7EA67DE-555A-46D2-BEE1-22A9F34602A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8972" id="{F8BB5107-78AE-4302-B9D0-42830F2B6582}">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8973" stopIfTrue="1" id="{B3A6AFF9-3727-4624-BA89-2B435AB992B7}">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8974" stopIfTrue="1" id="{CD9C17C3-24EC-4725-A9BB-AB349F0C0762}">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8969" id="{8E826F21-DA72-4A9F-A17B-DBB11454E562}">
            <xm:f>AND(IF(J203&gt;'F:\Users\norela.briceno\Documents\Plan de acción\Plan Accion 2018\[Plan Accion Integrado ADRES Vigencia 2018 con Cuadro de Mando V6..xlsx]Plan de Accion 2018'!#REF!,J203&lt;&gt;¨N/A¨))</xm:f>
            <x14:dxf>
              <fill>
                <patternFill>
                  <bgColor theme="1" tint="0.499984740745262"/>
                </patternFill>
              </fill>
            </x14:dxf>
          </x14:cfRule>
          <x14:cfRule type="expression" priority="8970" stopIfTrue="1" id="{F352A7F7-17C8-4575-9E6D-6E1578DC4772}">
            <xm:f>AND(IF(J203='F:\Users\norela.briceno\Documents\Plan de acción\Plan Accion 2018\[Plan Accion Integrado ADRES Vigencia 2018 con Cuadro de Mando V6..xlsx]Plan de Accion 2018'!#REF!,J203&lt;&gt;"N/A"))</xm:f>
            <x14:dxf>
              <fill>
                <patternFill>
                  <bgColor rgb="FF00B050"/>
                </patternFill>
              </fill>
            </x14:dxf>
          </x14:cfRule>
          <x14:cfRule type="expression" priority="8971" stopIfTrue="1" id="{349B967F-CF0F-4A62-95BD-66D906C57C61}">
            <xm:f>AND(IF(J203&lt;'F:\Users\norela.briceno\Documents\Plan de acción\Plan Accion 2018\[Plan Accion Integrado ADRES Vigencia 2018 con Cuadro de Mando V6..xlsx]Plan de Accion 2018'!#REF!,J203&lt;&gt;"N/A"))</xm:f>
            <x14:dxf>
              <fill>
                <patternFill>
                  <bgColor indexed="10"/>
                </patternFill>
              </fill>
            </x14:dxf>
          </x14:cfRule>
          <xm:sqref>J203</xm:sqref>
        </x14:conditionalFormatting>
        <x14:conditionalFormatting xmlns:xm="http://schemas.microsoft.com/office/excel/2006/main">
          <x14:cfRule type="expression" priority="8966" id="{39502C9D-EF1F-48C9-96A7-FDD1F086A0B6}">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8967" stopIfTrue="1" id="{1B8462EA-5E6D-47F8-9A71-8EB59B52A672}">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8968" stopIfTrue="1" id="{643A4889-8D96-4350-B881-026790BF31E6}">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8963" id="{6F1977ED-7B37-45FF-9116-8D10747F2787}">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8964" stopIfTrue="1" id="{219FE516-65FA-4D65-B648-2677DB3DD86F}">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8965" stopIfTrue="1" id="{03039E84-974C-4FBE-B411-393C8C47E03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8960" id="{197DA50F-D505-4CDC-BCA0-B8138858C4E5}">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8961" stopIfTrue="1" id="{1AABCD6C-9DB5-4F83-B90F-2D054FB9CADC}">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8962" stopIfTrue="1" id="{9975C2BB-0747-4981-BD36-4ED2F37F268B}">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8957" id="{E0AAB5A0-2F82-4BB7-B764-0B7728C53FF5}">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8958" stopIfTrue="1" id="{CE4F85DA-A64C-4073-8507-89EBB99DB545}">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8959" stopIfTrue="1" id="{106AF316-DFDA-47EE-9CC6-B7BE0007CAB1}">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8954" id="{2A7B6AB6-354F-49DB-8A23-628393CC9E0A}">
            <xm:f>AND(IF(J214&gt;'F:\Users\norela.briceno\Documents\Plan de acción\Plan Accion 2018\[Plan Accion Integrado ADRES Vigencia 2018 con Cuadro de Mando V6..xlsx]Plan de Accion 2018'!#REF!,J214&lt;&gt;¨N/A¨))</xm:f>
            <x14:dxf>
              <fill>
                <patternFill>
                  <bgColor theme="1" tint="0.499984740745262"/>
                </patternFill>
              </fill>
            </x14:dxf>
          </x14:cfRule>
          <x14:cfRule type="expression" priority="8955" stopIfTrue="1" id="{65EC6458-41A9-4360-99E1-A6643A038EA5}">
            <xm:f>AND(IF(J214='F:\Users\norela.briceno\Documents\Plan de acción\Plan Accion 2018\[Plan Accion Integrado ADRES Vigencia 2018 con Cuadro de Mando V6..xlsx]Plan de Accion 2018'!#REF!,J214&lt;&gt;"N/A"))</xm:f>
            <x14:dxf>
              <fill>
                <patternFill>
                  <bgColor rgb="FF00B050"/>
                </patternFill>
              </fill>
            </x14:dxf>
          </x14:cfRule>
          <x14:cfRule type="expression" priority="8956" stopIfTrue="1" id="{6D49E1CE-FDBF-4FA5-B175-FB7F3CCB5805}">
            <xm:f>AND(IF(J214&lt;'F:\Users\norela.briceno\Documents\Plan de acción\Plan Accion 2018\[Plan Accion Integrado ADRES Vigencia 2018 con Cuadro de Mando V6..xlsx]Plan de Accion 2018'!#REF!,J214&lt;&gt;"N/A"))</xm:f>
            <x14:dxf>
              <fill>
                <patternFill>
                  <bgColor indexed="10"/>
                </patternFill>
              </fill>
            </x14:dxf>
          </x14:cfRule>
          <xm:sqref>J214</xm:sqref>
        </x14:conditionalFormatting>
        <x14:conditionalFormatting xmlns:xm="http://schemas.microsoft.com/office/excel/2006/main">
          <x14:cfRule type="expression" priority="8951" id="{138CA019-2CEF-4671-B34F-3C81F1751CBF}">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8952" stopIfTrue="1" id="{FFE69D8E-6CCE-4DBC-BAD6-AB971307C258}">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8953" stopIfTrue="1" id="{FAC92ABC-FB98-4AA2-8075-AB9920925051}">
            <xm:f>AND(IF(J215&lt;'F:\Users\norela.briceno\Documents\Plan de acción\Plan Accion 2018\[Plan Accion Integrado ADRES Vigencia 2018 con Cuadro de Mando V6..xlsx]Plan de Accion 2018'!#REF!,J215&lt;&gt;"N/A"))</xm:f>
            <x14:dxf>
              <fill>
                <patternFill>
                  <bgColor indexed="10"/>
                </patternFill>
              </fill>
            </x14:dxf>
          </x14:cfRule>
          <xm:sqref>J215</xm:sqref>
        </x14:conditionalFormatting>
        <x14:conditionalFormatting xmlns:xm="http://schemas.microsoft.com/office/excel/2006/main">
          <x14:cfRule type="expression" priority="8948" id="{979DFB27-AF75-40E6-93F0-62B44D17E20A}">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8949" stopIfTrue="1" id="{FFBE220F-F7F5-449B-A2AF-AAE6CC3D5CEF}">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8950" stopIfTrue="1" id="{A9731B49-2BBC-4599-BEB6-298E80D18DA1}">
            <xm:f>AND(IF(J216&lt;'F:\Users\norela.briceno\Documents\Plan de acción\Plan Accion 2018\[Plan Accion Integrado ADRES Vigencia 2018 con Cuadro de Mando V6..xlsx]Plan de Accion 2018'!#REF!,J216&lt;&gt;"N/A"))</xm:f>
            <x14:dxf>
              <fill>
                <patternFill>
                  <bgColor indexed="10"/>
                </patternFill>
              </fill>
            </x14:dxf>
          </x14:cfRule>
          <xm:sqref>J216</xm:sqref>
        </x14:conditionalFormatting>
        <x14:conditionalFormatting xmlns:xm="http://schemas.microsoft.com/office/excel/2006/main">
          <x14:cfRule type="expression" priority="8945" id="{C65E792D-2712-401D-BBE8-D5B344F0436F}">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8946" stopIfTrue="1" id="{15B46276-9295-4AC8-8B42-7080D2A8F5B3}">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8947" stopIfTrue="1" id="{A9561DCB-FEA6-4539-84BE-B0D7F8E30BFE}">
            <xm:f>AND(IF(J217&lt;'F:\Users\norela.briceno\Documents\Plan de acción\Plan Accion 2018\[Plan Accion Integrado ADRES Vigencia 2018 con Cuadro de Mando V6..xlsx]Plan de Accion 2018'!#REF!,J217&lt;&gt;"N/A"))</xm:f>
            <x14:dxf>
              <fill>
                <patternFill>
                  <bgColor indexed="10"/>
                </patternFill>
              </fill>
            </x14:dxf>
          </x14:cfRule>
          <xm:sqref>J217</xm:sqref>
        </x14:conditionalFormatting>
        <x14:conditionalFormatting xmlns:xm="http://schemas.microsoft.com/office/excel/2006/main">
          <x14:cfRule type="expression" priority="8942" id="{39F1CF10-5A8F-440D-91F6-3290D3A0B2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8943" stopIfTrue="1" id="{F71DAD0A-897A-430E-BBE2-B38278145FDF}">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8944" stopIfTrue="1" id="{D04DDA5A-B1A4-422B-B0DC-5CC7D72D49F3}">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8939" id="{DBEAA618-1773-4C62-8BE2-19D72AC3F26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8940" stopIfTrue="1" id="{B49D378F-AC14-4594-A9F8-F9D261B6EBFB}">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8941" stopIfTrue="1" id="{41C2620C-D636-43AF-B121-0344CA4C0BC0}">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8936" id="{F997B86A-519D-495F-ABDF-BEBE1E0520F9}">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8937" stopIfTrue="1" id="{5C2BC65D-B257-47BE-9803-77670A437F6F}">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8938" stopIfTrue="1" id="{92D0DA70-6A87-4C2A-8062-C95A5E52EAF1}">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8933" id="{0D707EFA-B2BC-4CC3-93FF-A8BE909B3524}">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8934" stopIfTrue="1" id="{9492EA1D-F891-40D9-A96D-91ABCCDC7316}">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8935" stopIfTrue="1" id="{2B672A2E-EDA9-406D-99BF-DD197A7A926C}">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8930" id="{41E18522-7898-48C9-B65D-F7DF058DBF1F}">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8931" stopIfTrue="1" id="{50EBA678-84F9-4C48-8ED8-671B8A2CD461}">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8932" stopIfTrue="1" id="{8F9BFEC4-CC3A-4ECE-8AB8-553C8F3A98E4}">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8927" id="{34813F26-FB04-4524-A933-CA1F1135CD8E}">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8928" stopIfTrue="1" id="{5C4ED222-39FA-4032-81CA-6ED702CFC5E6}">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8929" stopIfTrue="1" id="{576C9731-46DF-4B0F-86D7-69AB639BAB39}">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8924" id="{E2275562-AABF-40D3-9902-4731CA7EA93A}">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8925" stopIfTrue="1" id="{45642891-474F-42FC-A555-AF2E5E802DFE}">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8926" stopIfTrue="1" id="{331F4288-4372-4B3A-9B80-6915FBEFAC1B}">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8921" id="{1D828B23-1D32-4506-BBB3-55D11E7E2AA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8922" stopIfTrue="1" id="{F2C5F9F2-B19F-42FF-AAC6-E9DA83EAFF8C}">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8923" stopIfTrue="1" id="{CD804F8A-948A-4C9C-818E-1D8D23C77F88}">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8918" id="{CB50322A-4A11-49DA-858A-DB3867A4B86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8919" stopIfTrue="1" id="{9BB68865-4570-4BB6-8660-AC0571D7ACD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8920" stopIfTrue="1" id="{2F81707A-F2E9-4FBD-AFBE-4D7DDCA922E7}">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8915" id="{D3B0D04B-FB0E-4025-9C62-BF3E30B17678}">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8916" stopIfTrue="1" id="{86FA60B1-113E-4B7D-B701-2397BD506929}">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8917" stopIfTrue="1" id="{0ACD61CE-4F05-45D0-9711-9770F76395C1}">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8912" id="{8D9EBFED-9FA4-4B63-8D41-2D3BD932912A}">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8913" stopIfTrue="1" id="{EEC3DE9F-3661-401F-9F57-6E602B4A4442}">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8914" stopIfTrue="1" id="{A7407ADC-BA22-480D-AD87-8605E92622F0}">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8909" id="{81706C31-A53A-4CE3-991D-5AE23B7F42AD}">
            <xm:f>AND(IF(J361&gt;'F:\Users\norela.briceno\Documents\Plan de acción\Plan Accion 2018\[Plan Accion Integrado ADRES Vigencia 2018 con Cuadro de Mando V6..xlsx]Plan de Accion 2018'!#REF!,J361&lt;&gt;¨N/A¨))</xm:f>
            <x14:dxf>
              <fill>
                <patternFill>
                  <bgColor theme="1" tint="0.499984740745262"/>
                </patternFill>
              </fill>
            </x14:dxf>
          </x14:cfRule>
          <x14:cfRule type="expression" priority="8910" stopIfTrue="1" id="{E62D2079-1CED-45B3-A863-2160AF97BF3F}">
            <xm:f>AND(IF(J361='F:\Users\norela.briceno\Documents\Plan de acción\Plan Accion 2018\[Plan Accion Integrado ADRES Vigencia 2018 con Cuadro de Mando V6..xlsx]Plan de Accion 2018'!#REF!,J361&lt;&gt;"N/A"))</xm:f>
            <x14:dxf>
              <fill>
                <patternFill>
                  <bgColor rgb="FF00B050"/>
                </patternFill>
              </fill>
            </x14:dxf>
          </x14:cfRule>
          <x14:cfRule type="expression" priority="8911" stopIfTrue="1" id="{AB84716A-C9EC-4857-943D-59C25E981F51}">
            <xm:f>AND(IF(J361&lt;'F:\Users\norela.briceno\Documents\Plan de acción\Plan Accion 2018\[Plan Accion Integrado ADRES Vigencia 2018 con Cuadro de Mando V6..xlsx]Plan de Accion 2018'!#REF!,J361&lt;&gt;"N/A"))</xm:f>
            <x14:dxf>
              <fill>
                <patternFill>
                  <bgColor indexed="10"/>
                </patternFill>
              </fill>
            </x14:dxf>
          </x14:cfRule>
          <xm:sqref>J361</xm:sqref>
        </x14:conditionalFormatting>
        <x14:conditionalFormatting xmlns:xm="http://schemas.microsoft.com/office/excel/2006/main">
          <x14:cfRule type="expression" priority="8906" id="{1A4208E5-5855-474D-9716-897FB7383D3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8907" stopIfTrue="1" id="{5FB49E7B-CEC0-4B0E-8F87-4EC47CAB7A0B}">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8908" stopIfTrue="1" id="{0530597E-29F2-4B29-8C0E-630B8B025B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8903" id="{A9420F15-3C15-4124-A55F-35E7EF0938D1}">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8904" stopIfTrue="1" id="{67B5CFFB-7D11-472C-9099-E98FC4760406}">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8905" stopIfTrue="1" id="{BC861CDF-5CE9-46F0-B12B-E534B7903C15}">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8900" id="{17FD2878-DF22-4026-BC98-82D98C77EA3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8901" stopIfTrue="1" id="{BD37D703-C499-4DC4-ADAC-5EBEC86A8D0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8902" stopIfTrue="1" id="{DFA30E7E-B8F9-4CEA-AE5D-3D82896940DC}">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8897" id="{9441A0A4-E5E8-4D67-8995-2AEE8D664D9B}">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8898" stopIfTrue="1" id="{4A5A310D-0AAF-4693-BE58-2C2E01DD6EF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8899" stopIfTrue="1" id="{9C628271-89B6-4097-951A-0CD5D64670C4}">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8894" id="{C0FD86B9-F015-4F10-89CE-B17CFC49794C}">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8895" stopIfTrue="1" id="{DD7434A2-9D7D-49FA-AAE8-7B28682F9EFD}">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8896" stopIfTrue="1" id="{953E6739-4754-4C24-83F6-0059B81D32FC}">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8891" id="{F9A7DD9F-6676-49C8-A9F5-E3EC28A03A9A}">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8892" stopIfTrue="1" id="{A70A37DE-896E-457F-BCE7-D4B2AD352FD4}">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8893" stopIfTrue="1" id="{5592FFBC-E8DF-4926-A053-7EA5BCCCD0F1}">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8888" id="{D56712E0-1194-428C-8375-4A43669D3AB8}">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8889" stopIfTrue="1" id="{8D908BA7-7A8E-4F0E-976B-FB8F0B83A859}">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8890" stopIfTrue="1" id="{78D03A0A-70FB-4449-8ACB-01F448534DC4}">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8885" id="{7B85CDDD-1626-48DD-B9CC-E083202030E5}">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8886" stopIfTrue="1" id="{2030EAFF-E54C-4460-BD0F-BCB138C2441D}">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8887" stopIfTrue="1" id="{8FCD5CE0-7ED4-4E58-8666-39B39C0D50E4}">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8882" id="{DA497230-0898-42A5-B1BD-8EA82D090FAC}">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8883" stopIfTrue="1" id="{0E813B68-C788-483A-BEE6-7A6EE7F9AA86}">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8884" stopIfTrue="1" id="{5598539D-1E3B-4868-B91B-5D27574053D0}">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8879" id="{DEDB9490-59A3-466F-BB30-1B022272E17F}">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8880" stopIfTrue="1" id="{6A60F988-57FB-4D8C-9F39-699A5FC72284}">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8881" stopIfTrue="1" id="{EA68719C-6496-486E-ADD2-3084E1D36350}">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8876" id="{30D2EC8F-93B3-4711-9800-B2591F7CA8FC}">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8877" stopIfTrue="1" id="{E578E15E-6C73-4852-BB7B-15F724DAF12E}">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8878" stopIfTrue="1" id="{B82FFC9C-05DF-4FBF-B0E4-94290BC76F2A}">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8873" id="{916B5BE0-5CBE-48DB-BF14-1AD68AB5A199}">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8874" stopIfTrue="1" id="{E62A80F2-AE5C-44F4-883E-A336DB96FDFC}">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8875" stopIfTrue="1" id="{F0A015BB-AF2B-4BF5-A4F5-D5B7827B4AC6}">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8870" id="{3B5659D7-B4EC-408F-8603-E8CEA67EEDA1}">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8871" stopIfTrue="1" id="{47BFF0C0-3551-4822-8BA3-E3AA353BAF85}">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8872" stopIfTrue="1" id="{BA5C5CEC-0D89-4591-BA47-4A43B23DCA08}">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8867" id="{469C406D-7DE1-4B92-8043-E9F2CE31B17F}">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8868" stopIfTrue="1" id="{F5DE0DE2-8258-48CE-BF4D-1BA49D80CF24}">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8869" stopIfTrue="1" id="{27E2444D-421E-400B-9C4E-47B622FDF673}">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8864" id="{AF9CCC4E-6EB5-4710-9ED8-53C809C0C45B}">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8865" stopIfTrue="1" id="{01B4E8E2-1DC0-4AA3-8628-6B59E291B658}">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8866" stopIfTrue="1" id="{E5E6EADD-220E-4866-B94F-B947D55CB883}">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8861" id="{C9F3B508-7420-46CE-A11B-1686808F1604}">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8862" stopIfTrue="1" id="{DEF2D6CE-84F5-401E-A394-086EDF5F9A79}">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8863" stopIfTrue="1" id="{02747EF4-3A35-4230-A50B-854A5CCD518C}">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8858" id="{AE6477D4-D3CD-461A-B514-64CD3750A5ED}">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8859" stopIfTrue="1" id="{9255856F-1A7C-4F9A-978A-6E2CA446AD2F}">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8860" stopIfTrue="1" id="{CDF15479-B32D-4D15-B43C-4E9A6FA82A12}">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8855" id="{CE505545-C23C-4DCF-8B4B-259AFB259AC2}">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8856" stopIfTrue="1" id="{56869BCA-3CE8-4794-A283-C7CE2B831986}">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8857" stopIfTrue="1" id="{E6D5F020-CB7B-4396-AC07-96EA927F21D9}">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8852" id="{90C69A9C-99E6-4AB4-9A6B-3EB3B0CDCD96}">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8853" stopIfTrue="1" id="{29E5DDAA-3702-43CA-AA4E-B7CF410F6AA6}">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8854" stopIfTrue="1" id="{B1DF796E-151D-4A3C-B8EE-74DA39C7013B}">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8849" id="{67589A60-7782-4F05-AA82-A2F972B1A3C3}">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8850" stopIfTrue="1" id="{4CBC3888-B667-433E-884A-43A4EBF4902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8851" stopIfTrue="1" id="{F20323A2-F5F7-4D79-BD9B-4A5D3EC27764}">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8846" id="{B84F9418-5BCF-493F-8053-4D3A4ACF46A0}">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8847" stopIfTrue="1" id="{BEB1B3C7-6C88-4459-B42C-5FA726017412}">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8848" stopIfTrue="1" id="{2FF3C135-14D1-4ACF-B399-92632EEFB475}">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8843" id="{9C688606-CD5D-48BB-880B-66B928F18B49}">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8844" stopIfTrue="1" id="{64B70E19-A765-4032-BE75-1FA45E0EFF3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8845" stopIfTrue="1" id="{188109D9-B981-47E1-8AAD-909B8E63AA6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8840" id="{9F5EE8F4-FC28-47A8-8482-4997AC65ED34}">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8841" stopIfTrue="1" id="{A92BB7D0-F39E-4BD0-A1C7-85744AB29FAA}">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8842" stopIfTrue="1" id="{060DD374-5211-4FBE-9B3C-A23C070E78B0}">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8837" id="{1593C6F7-E994-46A1-A1EF-4A0313B0E9A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8838" stopIfTrue="1" id="{FCB10AB0-F910-446D-B70F-1F967694F782}">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8839" stopIfTrue="1" id="{3FFC2C06-ECB7-4D61-B691-D8DBEEBC8099}">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8834" id="{E056709A-D5F8-45F6-B1E6-B87832641282}">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8835" stopIfTrue="1" id="{B0CFB115-C5A6-4FEB-80DE-5E732DB2F8FD}">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8836" stopIfTrue="1" id="{2D60FC41-5739-4E32-8014-820929694D97}">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8831" id="{3C99D43F-2CD5-4CE1-B2C9-F1FAFA73C94E}">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8832" stopIfTrue="1" id="{DB498A92-3717-442E-AD38-DBE54FA9D377}">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8833" stopIfTrue="1" id="{A8440A1A-BFC0-4537-B611-C307A7165262}">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8828" id="{99F0C221-52DC-43E1-9129-EA0A77468721}">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8829" stopIfTrue="1" id="{6AA031C8-AE1E-4946-A925-D4CA84785F4E}">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8830" stopIfTrue="1" id="{BFBA9072-EED1-4F50-9D0D-EDF3C3B1964D}">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8825" id="{B9ACFE06-25AA-4292-98E7-7B3AE817864A}">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8826" stopIfTrue="1" id="{C4636EBA-F204-4884-89CA-77C254DC7AB5}">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8827" stopIfTrue="1" id="{D67DE9B2-4E2E-4480-B4C4-0EE884319626}">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8822" id="{AAC4CA1D-C5AF-4C3A-B596-3571F967E6F8}">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8823" stopIfTrue="1" id="{60FD7488-1822-4571-9237-8B1FDF8B6DD0}">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8824" stopIfTrue="1" id="{E9BBB826-DEB8-45FE-84B1-9EA219F72A0B}">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8819" id="{E9D55E9F-C571-4574-8A6C-4104ED7FDE7D}">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820" stopIfTrue="1" id="{955C5D15-BEFF-4E13-9D69-F7F7CADE59C8}">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821" stopIfTrue="1" id="{54E80E88-4429-4ECA-BD01-E8A4720927B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816" id="{73CB2D0B-E773-4E5F-8E41-368487C67B62}">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8817" stopIfTrue="1" id="{2893BB84-031E-4940-9916-3B08D27AFB5A}">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8818" stopIfTrue="1" id="{55678A73-99B1-488A-B86D-9F727A8452EF}">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8813" id="{EA35C342-F2FE-49E3-8A38-F9325E350D6A}">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8814" stopIfTrue="1" id="{3A74A282-AE47-46E7-B1F5-CB1189DE1FA1}">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8815" stopIfTrue="1" id="{14D12ACC-85EA-4307-8844-2BEB67170E81}">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8810" id="{C07F8F2F-0080-4ED8-81AA-76BE994D03DE}">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8811" stopIfTrue="1" id="{6E56FF36-701B-4CC6-AAA8-9F236A570925}">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8812" stopIfTrue="1" id="{B67F61A0-B3D2-4998-8E36-EE8F7507741E}">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8807" id="{A3F0A17A-4C62-474D-90A8-AA519C86F477}">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8808" stopIfTrue="1" id="{A6AF2BFD-A746-4B74-B718-34235D288D03}">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8809" stopIfTrue="1" id="{1FF5BBCB-D3BA-4B22-91C3-166B8CE9357E}">
            <xm:f>AND(IF(J297&lt;'F:\Users\norela.briceno\Documents\Plan de acción\Plan Accion 2018\[Plan Accion Integrado ADRES Vigencia 2018 con Cuadro de Mando V6..xlsx]Plan de Accion 2018'!#REF!,J297&lt;&gt;"N/A"))</xm:f>
            <x14:dxf>
              <fill>
                <patternFill>
                  <bgColor indexed="10"/>
                </patternFill>
              </fill>
            </x14:dxf>
          </x14:cfRule>
          <xm:sqref>J297</xm:sqref>
        </x14:conditionalFormatting>
        <x14:conditionalFormatting xmlns:xm="http://schemas.microsoft.com/office/excel/2006/main">
          <x14:cfRule type="expression" priority="8804" id="{A9E63E30-CF84-43CF-9A7B-04F9D835B9D4}">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805" stopIfTrue="1" id="{35E0D2F7-63FB-4239-A3CB-5A7405B4BC17}">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806" stopIfTrue="1" id="{96D7E686-0A81-43B4-8C85-E44B8A7F4780}">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8801" id="{1FD3210D-405A-44C8-A57E-8A69D06A7BF4}">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8802" stopIfTrue="1" id="{10D9928C-08C6-4DB4-B1A7-82198D270820}">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8803" stopIfTrue="1" id="{CBF3EF06-C96F-41E1-9DF6-027952493060}">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8798" id="{D305749F-36C2-4F42-8556-203C4D340A79}">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799" stopIfTrue="1" id="{2B63B983-125C-44F9-A321-6013394D296B}">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800" stopIfTrue="1" id="{049F9C04-D287-4050-9E95-20AEEE21D37C}">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8795" id="{23319BB5-38DC-46F6-A0BE-417176F9D408}">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8796" stopIfTrue="1" id="{AD116F22-ECC4-4E73-8F00-C7E29BEE12C4}">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8797" stopIfTrue="1" id="{B5FB8F93-BEAF-45EF-9F43-D969AC06023F}">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8789" id="{666F3512-3252-4305-8E0C-24B96BBC86D5}">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8790" stopIfTrue="1" id="{C0F78F38-CAD2-4840-83B6-85A4F0A36334}">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8791" stopIfTrue="1" id="{D6926575-2466-4FB6-846F-37762ADD86F3}">
            <xm:f>AND(IF(J305&lt;'F:\Users\norela.briceno\Documents\Plan de acción\Plan Accion 2018\[Plan Accion Integrado ADRES Vigencia 2018 con Cuadro de Mando V6..xlsx]Plan de Accion 2018'!#REF!,J305&lt;&gt;"N/A"))</xm:f>
            <x14:dxf>
              <fill>
                <patternFill>
                  <bgColor indexed="10"/>
                </patternFill>
              </fill>
            </x14:dxf>
          </x14:cfRule>
          <xm:sqref>J305</xm:sqref>
        </x14:conditionalFormatting>
        <x14:conditionalFormatting xmlns:xm="http://schemas.microsoft.com/office/excel/2006/main">
          <x14:cfRule type="expression" priority="8786" id="{4669F42C-64DA-4BB3-A0D5-F5CADC99204E}">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8787" stopIfTrue="1" id="{E0C69DD9-F588-43D6-9041-B810B0134988}">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8788" stopIfTrue="1" id="{F7A34DE3-30A6-4013-B58E-DB790B773C87}">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8783" id="{62C36DAF-CE60-4D53-8CF0-5E171828D0A2}">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8784" stopIfTrue="1" id="{B3BBE509-ABDF-4E41-8AB5-9ECDC35BC2A7}">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8785" stopIfTrue="1" id="{5FA2C2E0-6133-4756-87D6-9B42B017E2DC}">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8780" id="{DCB37077-9663-4684-9A0D-B0A027F62789}">
            <xm:f>AND(IF(J309&gt;'F:\Users\norela.briceno\Documents\Plan de acción\Plan Accion 2018\[Plan Accion Integrado ADRES Vigencia 2018 con Cuadro de Mando V6..xlsx]Plan de Accion 2018'!#REF!,J309&lt;&gt;¨N/A¨))</xm:f>
            <x14:dxf>
              <fill>
                <patternFill>
                  <bgColor theme="1" tint="0.499984740745262"/>
                </patternFill>
              </fill>
            </x14:dxf>
          </x14:cfRule>
          <x14:cfRule type="expression" priority="8781" stopIfTrue="1" id="{8DEB3A1F-58D2-4365-897D-7188DCD8EC92}">
            <xm:f>AND(IF(J309='F:\Users\norela.briceno\Documents\Plan de acción\Plan Accion 2018\[Plan Accion Integrado ADRES Vigencia 2018 con Cuadro de Mando V6..xlsx]Plan de Accion 2018'!#REF!,J309&lt;&gt;"N/A"))</xm:f>
            <x14:dxf>
              <fill>
                <patternFill>
                  <bgColor rgb="FF00B050"/>
                </patternFill>
              </fill>
            </x14:dxf>
          </x14:cfRule>
          <x14:cfRule type="expression" priority="8782" stopIfTrue="1" id="{A47A0256-03B2-4E39-9D43-451730E6F554}">
            <xm:f>AND(IF(J309&lt;'F:\Users\norela.briceno\Documents\Plan de acción\Plan Accion 2018\[Plan Accion Integrado ADRES Vigencia 2018 con Cuadro de Mando V6..xlsx]Plan de Accion 2018'!#REF!,J309&lt;&gt;"N/A"))</xm:f>
            <x14:dxf>
              <fill>
                <patternFill>
                  <bgColor indexed="10"/>
                </patternFill>
              </fill>
            </x14:dxf>
          </x14:cfRule>
          <xm:sqref>J309</xm:sqref>
        </x14:conditionalFormatting>
        <x14:conditionalFormatting xmlns:xm="http://schemas.microsoft.com/office/excel/2006/main">
          <x14:cfRule type="expression" priority="8777" id="{1C7FDEBE-A6A7-4BE6-AEEB-DF5665652474}">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8778" stopIfTrue="1" id="{1EAC1BDC-1BDC-470B-9F89-A8A2F129AAE4}">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8779" stopIfTrue="1" id="{D07D343D-B94B-436F-B7EE-F2B43A2105E3}">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8774" id="{C304A34E-0CCD-4FDD-86BB-AF6BF0AD76B1}">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8775" stopIfTrue="1" id="{EECC42DA-7283-4CDB-BE86-3E7B093606CB}">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8776" stopIfTrue="1" id="{7D464609-A799-4BED-A600-54D4C286A287}">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8771" id="{A77F13B4-BBB7-4AAF-A635-77A00F270C2E}">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8772" stopIfTrue="1" id="{5FA43D6E-01B7-4751-B671-98F4C3B817D7}">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8773" stopIfTrue="1" id="{8756D9E1-1C79-4645-8CEF-A4FEA0CBE011}">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8768" id="{ECF600FC-EC4E-4C79-A961-6A368E2C8C03}">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8769" stopIfTrue="1" id="{25FDB5A5-86F3-479D-867B-F1A3959BDC6E}">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8770" stopIfTrue="1" id="{BDD06CD2-89E1-4348-BF14-5AF6A2EB50DE}">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8765" id="{CF8509CB-AD6D-4D84-A233-38E8F2B452A1}">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8766" stopIfTrue="1" id="{544421A5-1303-4814-B20E-6951B173506F}">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8767" stopIfTrue="1" id="{CF6CDA05-EE49-49CB-8476-34B5B07F23A6}">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8756" id="{A0F69426-92DD-4DA7-A28F-DE6262CA8971}">
            <xm:f>AND(IF(J321&gt;'F:\Users\norela.briceno\Documents\Plan de acción\Plan Accion 2018\[Plan Accion Integrado ADRES Vigencia 2018 con Cuadro de Mando V6..xlsx]Plan de Accion 2018'!#REF!,J321&lt;&gt;¨N/A¨))</xm:f>
            <x14:dxf>
              <fill>
                <patternFill>
                  <bgColor theme="1" tint="0.499984740745262"/>
                </patternFill>
              </fill>
            </x14:dxf>
          </x14:cfRule>
          <x14:cfRule type="expression" priority="8757" stopIfTrue="1" id="{9AD85C46-C683-439A-A65D-6D0A68984029}">
            <xm:f>AND(IF(J321='F:\Users\norela.briceno\Documents\Plan de acción\Plan Accion 2018\[Plan Accion Integrado ADRES Vigencia 2018 con Cuadro de Mando V6..xlsx]Plan de Accion 2018'!#REF!,J321&lt;&gt;"N/A"))</xm:f>
            <x14:dxf>
              <fill>
                <patternFill>
                  <bgColor rgb="FF00B050"/>
                </patternFill>
              </fill>
            </x14:dxf>
          </x14:cfRule>
          <x14:cfRule type="expression" priority="8758" stopIfTrue="1" id="{5E1002E9-2CB3-40FA-940D-499AD6B0AF1E}">
            <xm:f>AND(IF(J321&lt;'F:\Users\norela.briceno\Documents\Plan de acción\Plan Accion 2018\[Plan Accion Integrado ADRES Vigencia 2018 con Cuadro de Mando V6..xlsx]Plan de Accion 2018'!#REF!,J321&lt;&gt;"N/A"))</xm:f>
            <x14:dxf>
              <fill>
                <patternFill>
                  <bgColor indexed="10"/>
                </patternFill>
              </fill>
            </x14:dxf>
          </x14:cfRule>
          <xm:sqref>J321</xm:sqref>
        </x14:conditionalFormatting>
        <x14:conditionalFormatting xmlns:xm="http://schemas.microsoft.com/office/excel/2006/main">
          <x14:cfRule type="expression" priority="8753" id="{D7D9E196-D0E3-4DC5-BB4C-D0174410B677}">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8754" stopIfTrue="1" id="{9791DCD5-8F1F-435C-9347-3BD1AFBA3270}">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8755" stopIfTrue="1" id="{889576B8-A00E-48A5-A2DB-70637CA0DC01}">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8741" id="{95AFA146-B8B0-4350-94E4-52B7A56050DA}">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8742" stopIfTrue="1" id="{55404B6B-E569-45D7-84C9-60383F6C36C4}">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8743" stopIfTrue="1" id="{3FCDC013-C983-4F6E-9CCD-B4289C75636E}">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8738" id="{2F18D6A1-8E10-4644-9BF0-75B2CC6F6924}">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8739" stopIfTrue="1" id="{6A6012ED-CB7B-4BD9-99BE-05BF45F1FB56}">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8740" stopIfTrue="1" id="{C6E61C13-0E77-4BF1-BC75-64C4009A0B3B}">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8735" id="{236E64A7-B3EF-4B46-8CCB-04E8F16E85D8}">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8736" stopIfTrue="1" id="{5F6804F5-471D-439C-BA64-07730D92CF4F}">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8737" stopIfTrue="1" id="{CE4B3AF4-873D-4CF8-BCBC-7D9D9852D4C5}">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8732" id="{5C706E30-8A5B-46E6-A86E-0F2B2E4C3806}">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8733" stopIfTrue="1" id="{3000EAE8-871F-42AD-9334-15BD18C2636B}">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8734" stopIfTrue="1" id="{55C9D119-1176-41C7-937A-EAE136E38333}">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8729" id="{61ADE537-FF10-46E9-AD24-5EB4186E13F1}">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8730" stopIfTrue="1" id="{9F36C6D6-8069-441A-8058-2BA970C91560}">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8731" stopIfTrue="1" id="{EF19A3CD-AB76-482E-8AAC-C5CF82A471D8}">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8726" id="{BC105914-F08A-4FF3-B541-4DCF7DF62567}">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8727" stopIfTrue="1" id="{B397756C-A007-4E98-A69D-53A6D3AAADDD}">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8728" stopIfTrue="1" id="{68DDE2B3-FA31-4E07-B605-F6D36C1CEFFF}">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8723" id="{8D4A45E3-7BDA-4BFB-9663-5B3F45709AA8}">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8724" stopIfTrue="1" id="{BB87CCAE-6EF8-4155-963F-7307CAB7F5E9}">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8725" stopIfTrue="1" id="{578526A1-66A1-4347-9481-15AA6CD38242}">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8720" id="{08C17B7B-5BB0-41E3-9119-776277B628CE}">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8721" stopIfTrue="1" id="{10E434E5-DB01-40B9-A209-CC28B2B74DC7}">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8722" stopIfTrue="1" id="{9EC191ED-6B2C-43CE-9FEE-CBE882DB26AF}">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8717" id="{D0033153-8817-4D97-AFE3-BEFBF1070776}">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8718" stopIfTrue="1" id="{B3528B17-2DED-496A-B1F2-95E9CAC3E6CD}">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8719" stopIfTrue="1" id="{69F4746F-EE6B-4F2E-86E3-9E198688F87A}">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8672" id="{52AF0F75-A965-4E46-ABA9-2551CCC309AE}">
            <xm:f>AND(IF(J350&gt;'F:\Users\norela.briceno\Documents\Plan de acción\Plan Accion 2018\[Plan Accion Integrado ADRES Vigencia 2018 con Cuadro de Mando V6..xlsx]Plan de Accion 2018'!#REF!,J350&lt;&gt;¨N/A¨))</xm:f>
            <x14:dxf>
              <fill>
                <patternFill>
                  <bgColor theme="1" tint="0.499984740745262"/>
                </patternFill>
              </fill>
            </x14:dxf>
          </x14:cfRule>
          <x14:cfRule type="expression" priority="8673" stopIfTrue="1" id="{7D947319-BB6A-4641-A505-00B78677196D}">
            <xm:f>AND(IF(J350='F:\Users\norela.briceno\Documents\Plan de acción\Plan Accion 2018\[Plan Accion Integrado ADRES Vigencia 2018 con Cuadro de Mando V6..xlsx]Plan de Accion 2018'!#REF!,J350&lt;&gt;"N/A"))</xm:f>
            <x14:dxf>
              <fill>
                <patternFill>
                  <bgColor rgb="FF00B050"/>
                </patternFill>
              </fill>
            </x14:dxf>
          </x14:cfRule>
          <x14:cfRule type="expression" priority="8674" stopIfTrue="1" id="{1B43F01E-DB64-4253-8173-55F7E6B3BB9C}">
            <xm:f>AND(IF(J350&lt;'F:\Users\norela.briceno\Documents\Plan de acción\Plan Accion 2018\[Plan Accion Integrado ADRES Vigencia 2018 con Cuadro de Mando V6..xlsx]Plan de Accion 2018'!#REF!,J350&lt;&gt;"N/A"))</xm:f>
            <x14:dxf>
              <fill>
                <patternFill>
                  <bgColor indexed="10"/>
                </patternFill>
              </fill>
            </x14:dxf>
          </x14:cfRule>
          <xm:sqref>J350</xm:sqref>
        </x14:conditionalFormatting>
        <x14:conditionalFormatting xmlns:xm="http://schemas.microsoft.com/office/excel/2006/main">
          <x14:cfRule type="expression" priority="8669" id="{E07A8C36-D48A-47A6-BD5D-D2B47C1923E5}">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8670" stopIfTrue="1" id="{09367B4D-8C4F-4A49-9EF1-A275623B40BA}">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8671" stopIfTrue="1" id="{4D8230C8-FB7A-42A8-93FC-BB85EDC3356A}">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8666" id="{2C532752-24E0-4268-A894-ECAA56CD73E7}">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8667" stopIfTrue="1" id="{148AB6FB-0040-468F-BF00-A56C1773F932}">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8668" stopIfTrue="1" id="{9EBBA7C4-EA84-4846-B4F3-0FEF25FB2E50}">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8660" id="{84D24A24-3E25-45EA-9FBD-A193BBEB3662}">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8661" stopIfTrue="1" id="{3FD227E2-7FFB-4844-A55A-CA38B539459E}">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8662" stopIfTrue="1" id="{F4CB9B13-B783-4FEE-8A18-AF7AE1F8392C}">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8648" id="{419D2B31-3775-41DE-8E0A-E36B3E6A6BDA}">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8649" stopIfTrue="1" id="{5A101F35-E969-4406-B660-8864EECECB3B}">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8650" stopIfTrue="1" id="{368529CD-CB94-4C61-860E-066365634661}">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8645" id="{C85AF9B7-AD51-4411-BE09-3977CFFC7DAD}">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8646" stopIfTrue="1" id="{FB87EA08-2114-4B88-936B-0A4BEB570CAD}">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8647" stopIfTrue="1" id="{4E90C988-3062-499C-AF0E-55C13BBFE760}">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8642" id="{C218752D-9165-4C58-8066-7C8AA7FE8CB1}">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8643" stopIfTrue="1" id="{282BF6BB-48E3-478D-90A7-FA5C2CBC883A}">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8644" stopIfTrue="1" id="{D0100765-2070-4907-8517-A08798455B99}">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8639" id="{D3733EE2-D918-48F8-86E9-CA97038B08BA}">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8640" stopIfTrue="1" id="{4EC11AFF-2C55-4AF4-9A28-3E18447E6447}">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8641" stopIfTrue="1" id="{8AFF68B0-5B33-4F7C-A2C9-D7068DF54141}">
            <xm:f>AND(IF(J359&lt;'F:\Users\norela.briceno\Documents\Plan de acción\Plan Accion 2018\[Plan Accion Integrado ADRES Vigencia 2018 con Cuadro de Mando V6..xlsx]Plan de Accion 2018'!#REF!,J359&lt;&gt;"N/A"))</xm:f>
            <x14:dxf>
              <fill>
                <patternFill>
                  <bgColor indexed="10"/>
                </patternFill>
              </fill>
            </x14:dxf>
          </x14:cfRule>
          <xm:sqref>J359 J361</xm:sqref>
        </x14:conditionalFormatting>
        <x14:conditionalFormatting xmlns:xm="http://schemas.microsoft.com/office/excel/2006/main">
          <x14:cfRule type="expression" priority="8636" id="{50875E89-6087-46CD-B6F4-1C614A5BE7CA}">
            <xm:f>AND(IF(J362&gt;'F:\Users\norela.briceno\Documents\Plan de acción\Plan Accion 2018\[Plan Accion Integrado ADRES Vigencia 2018 con Cuadro de Mando V6..xlsx]Plan de Accion 2018'!#REF!,J362&lt;&gt;¨N/A¨))</xm:f>
            <x14:dxf>
              <fill>
                <patternFill>
                  <bgColor theme="1" tint="0.499984740745262"/>
                </patternFill>
              </fill>
            </x14:dxf>
          </x14:cfRule>
          <x14:cfRule type="expression" priority="8637" stopIfTrue="1" id="{8F34E03F-ED4A-4E9E-890B-2F4B3B24735B}">
            <xm:f>AND(IF(J362='F:\Users\norela.briceno\Documents\Plan de acción\Plan Accion 2018\[Plan Accion Integrado ADRES Vigencia 2018 con Cuadro de Mando V6..xlsx]Plan de Accion 2018'!#REF!,J362&lt;&gt;"N/A"))</xm:f>
            <x14:dxf>
              <fill>
                <patternFill>
                  <bgColor rgb="FF00B050"/>
                </patternFill>
              </fill>
            </x14:dxf>
          </x14:cfRule>
          <x14:cfRule type="expression" priority="8638" stopIfTrue="1" id="{3B536A2C-0798-4305-AE92-C5255A9B3642}">
            <xm:f>AND(IF(J362&lt;'F:\Users\norela.briceno\Documents\Plan de acción\Plan Accion 2018\[Plan Accion Integrado ADRES Vigencia 2018 con Cuadro de Mando V6..xlsx]Plan de Accion 2018'!#REF!,J362&lt;&gt;"N/A"))</xm:f>
            <x14:dxf>
              <fill>
                <patternFill>
                  <bgColor indexed="10"/>
                </patternFill>
              </fill>
            </x14:dxf>
          </x14:cfRule>
          <xm:sqref>J362</xm:sqref>
        </x14:conditionalFormatting>
        <x14:conditionalFormatting xmlns:xm="http://schemas.microsoft.com/office/excel/2006/main">
          <x14:cfRule type="expression" priority="8633" id="{582BAD77-ACAA-4DBB-B8EB-A29F2D58686C}">
            <xm:f>AND(IF(J363&gt;'F:\Users\norela.briceno\Documents\Plan de acción\Plan Accion 2018\[Plan Accion Integrado ADRES Vigencia 2018 con Cuadro de Mando V6..xlsx]Plan de Accion 2018'!#REF!,J363&lt;&gt;¨N/A¨))</xm:f>
            <x14:dxf>
              <fill>
                <patternFill>
                  <bgColor theme="1" tint="0.499984740745262"/>
                </patternFill>
              </fill>
            </x14:dxf>
          </x14:cfRule>
          <x14:cfRule type="expression" priority="8634" stopIfTrue="1" id="{425E17B3-1196-444B-AF56-03DB8142A340}">
            <xm:f>AND(IF(J363='F:\Users\norela.briceno\Documents\Plan de acción\Plan Accion 2018\[Plan Accion Integrado ADRES Vigencia 2018 con Cuadro de Mando V6..xlsx]Plan de Accion 2018'!#REF!,J363&lt;&gt;"N/A"))</xm:f>
            <x14:dxf>
              <fill>
                <patternFill>
                  <bgColor rgb="FF00B050"/>
                </patternFill>
              </fill>
            </x14:dxf>
          </x14:cfRule>
          <x14:cfRule type="expression" priority="8635" stopIfTrue="1" id="{84D6E65C-E3FC-46A5-AFAE-3825D5BE7552}">
            <xm:f>AND(IF(J363&lt;'F:\Users\norela.briceno\Documents\Plan de acción\Plan Accion 2018\[Plan Accion Integrado ADRES Vigencia 2018 con Cuadro de Mando V6..xlsx]Plan de Accion 2018'!#REF!,J363&lt;&gt;"N/A"))</xm:f>
            <x14:dxf>
              <fill>
                <patternFill>
                  <bgColor indexed="10"/>
                </patternFill>
              </fill>
            </x14:dxf>
          </x14:cfRule>
          <xm:sqref>J363</xm:sqref>
        </x14:conditionalFormatting>
        <x14:conditionalFormatting xmlns:xm="http://schemas.microsoft.com/office/excel/2006/main">
          <x14:cfRule type="expression" priority="8630" id="{FA932AC1-F7D9-4EF9-8EE0-743DC86531F5}">
            <xm:f>AND(IF(Q363&gt;'F:\Users\norela.briceno\Documents\Plan de acción\Plan Accion 2018\[Plan Accion Integrado ADRES Vigencia 2018 con Cuadro de Mando V6..xlsx]Plan de Accion 2018'!#REF!,Q363&lt;&gt;¨N/A¨))</xm:f>
            <x14:dxf>
              <fill>
                <patternFill>
                  <bgColor theme="1" tint="0.499984740745262"/>
                </patternFill>
              </fill>
            </x14:dxf>
          </x14:cfRule>
          <x14:cfRule type="expression" priority="8631" stopIfTrue="1" id="{52E8698C-323F-431B-8CDB-22BCE98DEAB0}">
            <xm:f>AND(IF(Q363='F:\Users\norela.briceno\Documents\Plan de acción\Plan Accion 2018\[Plan Accion Integrado ADRES Vigencia 2018 con Cuadro de Mando V6..xlsx]Plan de Accion 2018'!#REF!,Q363&lt;&gt;"N/A"))</xm:f>
            <x14:dxf>
              <fill>
                <patternFill>
                  <bgColor rgb="FF00B050"/>
                </patternFill>
              </fill>
            </x14:dxf>
          </x14:cfRule>
          <x14:cfRule type="expression" priority="8632" stopIfTrue="1" id="{D33D47A7-67CE-4993-AE7C-4745F9770261}">
            <xm:f>AND(IF(Q363&lt;'F:\Users\norela.briceno\Documents\Plan de acción\Plan Accion 2018\[Plan Accion Integrado ADRES Vigencia 2018 con Cuadro de Mando V6..xlsx]Plan de Accion 2018'!#REF!,Q363&lt;&gt;"N/A"))</xm:f>
            <x14:dxf>
              <fill>
                <patternFill>
                  <bgColor indexed="10"/>
                </patternFill>
              </fill>
            </x14:dxf>
          </x14:cfRule>
          <xm:sqref>Q363</xm:sqref>
        </x14:conditionalFormatting>
        <x14:conditionalFormatting xmlns:xm="http://schemas.microsoft.com/office/excel/2006/main">
          <x14:cfRule type="expression" priority="8627" id="{49DDB158-CBAE-40F9-B8B3-8EF887B7A4FB}">
            <xm:f>AND(IF(Q362&gt;'F:\Users\norela.briceno\Documents\Plan de acción\Plan Accion 2018\[Plan Accion Integrado ADRES Vigencia 2018 con Cuadro de Mando V6..xlsx]Plan de Accion 2018'!#REF!,Q362&lt;&gt;¨N/A¨))</xm:f>
            <x14:dxf>
              <fill>
                <patternFill>
                  <bgColor theme="1" tint="0.499984740745262"/>
                </patternFill>
              </fill>
            </x14:dxf>
          </x14:cfRule>
          <x14:cfRule type="expression" priority="8628" stopIfTrue="1" id="{9EE1C65B-A39E-4915-B007-4C80CAFA7B3E}">
            <xm:f>AND(IF(Q362='F:\Users\norela.briceno\Documents\Plan de acción\Plan Accion 2018\[Plan Accion Integrado ADRES Vigencia 2018 con Cuadro de Mando V6..xlsx]Plan de Accion 2018'!#REF!,Q362&lt;&gt;"N/A"))</xm:f>
            <x14:dxf>
              <fill>
                <patternFill>
                  <bgColor rgb="FF00B050"/>
                </patternFill>
              </fill>
            </x14:dxf>
          </x14:cfRule>
          <x14:cfRule type="expression" priority="8629" stopIfTrue="1" id="{FECDC918-56D5-46F8-8825-5A09E9E18F28}">
            <xm:f>AND(IF(Q362&lt;'F:\Users\norela.briceno\Documents\Plan de acción\Plan Accion 2018\[Plan Accion Integrado ADRES Vigencia 2018 con Cuadro de Mando V6..xlsx]Plan de Accion 2018'!#REF!,Q362&lt;&gt;"N/A"))</xm:f>
            <x14:dxf>
              <fill>
                <patternFill>
                  <bgColor indexed="10"/>
                </patternFill>
              </fill>
            </x14:dxf>
          </x14:cfRule>
          <xm:sqref>Q362</xm:sqref>
        </x14:conditionalFormatting>
        <x14:conditionalFormatting xmlns:xm="http://schemas.microsoft.com/office/excel/2006/main">
          <x14:cfRule type="expression" priority="8624" id="{FC584531-032D-438C-BA1B-334CBBEA355C}">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8625" stopIfTrue="1" id="{48FEE00D-0170-4F73-8AE7-EA10125D9AF2}">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8626" stopIfTrue="1" id="{96DC58FC-D635-4607-9085-2A909D250D10}">
            <xm:f>AND(IF(Q359&lt;'F:\Users\norela.briceno\Documents\Plan de acción\Plan Accion 2018\[Plan Accion Integrado ADRES Vigencia 2018 con Cuadro de Mando V6..xlsx]Plan de Accion 2018'!#REF!,Q359&lt;&gt;"N/A"))</xm:f>
            <x14:dxf>
              <fill>
                <patternFill>
                  <bgColor indexed="10"/>
                </patternFill>
              </fill>
            </x14:dxf>
          </x14:cfRule>
          <xm:sqref>Q359 Q361</xm:sqref>
        </x14:conditionalFormatting>
        <x14:conditionalFormatting xmlns:xm="http://schemas.microsoft.com/office/excel/2006/main">
          <x14:cfRule type="expression" priority="8621" id="{25949B3C-659B-4579-B94D-88FA857F4C68}">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8622" stopIfTrue="1" id="{C239CC11-DB06-466A-9BBB-CEB32D1502EA}">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8623" stopIfTrue="1" id="{490C37F2-2C18-4886-8755-B968E1D2CEA2}">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8618" id="{2B7B2B13-E1A1-4C2A-9175-A7A61F2AC04B}">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8619" stopIfTrue="1" id="{76F3ADF6-165B-4635-BC6B-8060666FBCC4}">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8620" stopIfTrue="1" id="{551B4BD0-ACED-47FD-B773-B7B2817E72DA}">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8615" id="{316FCC8D-21B2-427A-B83B-6E0FE0393375}">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8616" stopIfTrue="1" id="{4D7C8248-86B3-4DAF-89FE-DF5CC3BCC76F}">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8617" stopIfTrue="1" id="{B642CCC0-6F7C-4C23-A9E1-BE408E5C54AA}">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8594" id="{D7ED292D-60E2-4CB8-ADFD-EAE965422B22}">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8595" stopIfTrue="1" id="{0D9BE612-2712-4552-837E-5A01C1D9A53A}">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8596" stopIfTrue="1" id="{FFC3F677-8073-46ED-BC87-A8B393F04338}">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8591" id="{FEA3261B-BCAF-468B-BEF8-8A4975589B26}">
            <xm:f>AND(IF(Q350&gt;'F:\Users\norela.briceno\Documents\Plan de acción\Plan Accion 2018\[Plan Accion Integrado ADRES Vigencia 2018 con Cuadro de Mando V6..xlsx]Plan de Accion 2018'!#REF!,Q350&lt;&gt;¨N/A¨))</xm:f>
            <x14:dxf>
              <fill>
                <patternFill>
                  <bgColor theme="1" tint="0.499984740745262"/>
                </patternFill>
              </fill>
            </x14:dxf>
          </x14:cfRule>
          <x14:cfRule type="expression" priority="8592" stopIfTrue="1" id="{77DD2168-BA2D-4D42-9353-FF64ACE1B151}">
            <xm:f>AND(IF(Q350='F:\Users\norela.briceno\Documents\Plan de acción\Plan Accion 2018\[Plan Accion Integrado ADRES Vigencia 2018 con Cuadro de Mando V6..xlsx]Plan de Accion 2018'!#REF!,Q350&lt;&gt;"N/A"))</xm:f>
            <x14:dxf>
              <fill>
                <patternFill>
                  <bgColor rgb="FF00B050"/>
                </patternFill>
              </fill>
            </x14:dxf>
          </x14:cfRule>
          <x14:cfRule type="expression" priority="8593" stopIfTrue="1" id="{B3DA84CC-99E8-47F9-84D3-0B836DE9ED97}">
            <xm:f>AND(IF(Q350&lt;'F:\Users\norela.briceno\Documents\Plan de acción\Plan Accion 2018\[Plan Accion Integrado ADRES Vigencia 2018 con Cuadro de Mando V6..xlsx]Plan de Accion 2018'!#REF!,Q350&lt;&gt;"N/A"))</xm:f>
            <x14:dxf>
              <fill>
                <patternFill>
                  <bgColor indexed="10"/>
                </patternFill>
              </fill>
            </x14:dxf>
          </x14:cfRule>
          <xm:sqref>Q350</xm:sqref>
        </x14:conditionalFormatting>
        <x14:conditionalFormatting xmlns:xm="http://schemas.microsoft.com/office/excel/2006/main">
          <x14:cfRule type="expression" priority="8546" id="{CE39ECD4-818F-4457-882A-5D9B07DF7FA2}">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8547" stopIfTrue="1" id="{6B8F79EB-1A30-4FD1-A2DE-754E6CEB7DD9}">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8548" stopIfTrue="1" id="{A2545940-2C01-454F-B03E-55F5226AD51F}">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8543" id="{339DBA48-3968-48AB-8182-22EBCDAF47E4}">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8544" stopIfTrue="1" id="{1527EA26-912E-48C2-BD74-4C9670F86E2B}">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8545" stopIfTrue="1" id="{8F824863-50E2-46F5-ADA2-1A065BEC9A78}">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8540" id="{629B2119-3616-4811-93C2-E10A58EAA988}">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8541" stopIfTrue="1" id="{39EBF56C-1F6C-40DA-8E93-E369D99879CC}">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8542" stopIfTrue="1" id="{6522A9CF-2DC0-419F-B98F-F0B761953E84}">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8537" id="{EC215BAD-74CE-4B46-BD57-BA25A343D0FF}">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8538" stopIfTrue="1" id="{A11A15C1-BF24-499C-B987-9EE46106C759}">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8539" stopIfTrue="1" id="{D867A8B7-430D-4D54-8AD4-9D1B22BD0F1E}">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8534" id="{CBA8902D-B5F8-4878-990F-C22E57FCD105}">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8535" stopIfTrue="1" id="{001102EA-C33C-4383-B312-DBE34FFCC61D}">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8536" stopIfTrue="1" id="{6956BE61-4C30-47C7-97AC-8D4A9DD3AE56}">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8531" id="{1CF7E5CE-0229-42B1-BD02-CF78083ED6F0}">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8532" stopIfTrue="1" id="{A8EDFA31-5282-41BA-8F49-08014DDF273C}">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8533" stopIfTrue="1" id="{E1B69B8D-1B49-40EE-80BD-00E5EA5366FD}">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8528" id="{D001B3AF-A742-4CC9-8ADE-FAF3B70A50B9}">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8529" stopIfTrue="1" id="{DAEAB4D4-0B75-4EB8-A85A-9A586FC7D190}">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8530" stopIfTrue="1" id="{18ADDED9-EAEF-4FD7-AB9D-550DC0E5AEF5}">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8525" id="{1BA629DF-D098-47A8-AED2-B99E9E24792C}">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8526" stopIfTrue="1" id="{C5E87288-9EDD-44C8-8732-E3C3D4B3F804}">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8527" stopIfTrue="1" id="{ADFA4F46-2B57-4C78-8C44-342DFEBC7823}">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8522" id="{F66FB7F0-D91C-4E7C-90E8-6DE049EE4C91}">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8523" stopIfTrue="1" id="{D1AF330E-877A-475E-8D55-18444C452D2D}">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8524" stopIfTrue="1" id="{3DE237D6-406A-447F-B189-94BF06F670DF}">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8513" id="{C076C11C-6F27-4A31-BD9D-D76B7241ED11}">
            <xm:f>AND(IF(Q321&gt;'F:\Users\norela.briceno\Documents\Plan de acción\Plan Accion 2018\[Plan Accion Integrado ADRES Vigencia 2018 con Cuadro de Mando V6..xlsx]Plan de Accion 2018'!#REF!,Q321&lt;&gt;¨N/A¨))</xm:f>
            <x14:dxf>
              <fill>
                <patternFill>
                  <bgColor theme="1" tint="0.499984740745262"/>
                </patternFill>
              </fill>
            </x14:dxf>
          </x14:cfRule>
          <x14:cfRule type="expression" priority="8514" stopIfTrue="1" id="{AD069A11-BBD9-47C0-93B6-5C910CE5B506}">
            <xm:f>AND(IF(Q321='F:\Users\norela.briceno\Documents\Plan de acción\Plan Accion 2018\[Plan Accion Integrado ADRES Vigencia 2018 con Cuadro de Mando V6..xlsx]Plan de Accion 2018'!#REF!,Q321&lt;&gt;"N/A"))</xm:f>
            <x14:dxf>
              <fill>
                <patternFill>
                  <bgColor rgb="FF00B050"/>
                </patternFill>
              </fill>
            </x14:dxf>
          </x14:cfRule>
          <x14:cfRule type="expression" priority="8515" stopIfTrue="1" id="{612AEF15-7C4A-4335-BD6F-7E01486E5FFC}">
            <xm:f>AND(IF(Q321&lt;'F:\Users\norela.briceno\Documents\Plan de acción\Plan Accion 2018\[Plan Accion Integrado ADRES Vigencia 2018 con Cuadro de Mando V6..xlsx]Plan de Accion 2018'!#REF!,Q321&lt;&gt;"N/A"))</xm:f>
            <x14:dxf>
              <fill>
                <patternFill>
                  <bgColor indexed="10"/>
                </patternFill>
              </fill>
            </x14:dxf>
          </x14:cfRule>
          <xm:sqref>Q321</xm:sqref>
        </x14:conditionalFormatting>
        <x14:conditionalFormatting xmlns:xm="http://schemas.microsoft.com/office/excel/2006/main">
          <x14:cfRule type="expression" priority="8510" id="{6AEC11B5-A80D-47D6-96D7-DD3D6800726D}">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8511" stopIfTrue="1" id="{51B08F18-41D3-4E14-A638-FF5A8B6C74B1}">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8512" stopIfTrue="1" id="{B1D06204-B8BE-4449-BAB7-57BFB5D051CB}">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8498" id="{6F2A72DA-1431-43EA-BA85-CC54EFE9E5D0}">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8499" stopIfTrue="1" id="{4B8EB4DA-A838-4F6F-A289-5504EE923DA9}">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8500" stopIfTrue="1" id="{895543DC-106B-4041-B76A-D8E9471C03AD}">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8495" id="{FDC61587-0526-49C7-91D2-247A71D3B9D2}">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8496" stopIfTrue="1" id="{CEE3E200-B3C8-435B-BE39-DD99F9567178}">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8497" stopIfTrue="1" id="{02FDE205-7992-4BC8-8F4B-4FFC88D47C78}">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8492" id="{6EF11A64-4931-4EB8-AFDE-699ABCF2D0C9}">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8493" stopIfTrue="1" id="{1D2202C9-959A-42C9-B044-F233BC63559D}">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8494" stopIfTrue="1" id="{B759A0BC-51FA-428E-9212-C57FA34BFA1D}">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8489" id="{78870969-2676-4334-B6A5-107716AB3AAB}">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8490" stopIfTrue="1" id="{148E8CB6-3096-4F6C-8945-E12663C2E2A6}">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8491" stopIfTrue="1" id="{B2772353-2E38-462D-BEAE-68CBF70E6EA9}">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8486" id="{D433D182-5795-4B5F-9B84-D6335A597D09}">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8487" stopIfTrue="1" id="{7A791112-F4F8-44D1-A431-FCDE34449F21}">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8488" stopIfTrue="1" id="{1FC7B3B2-7E16-42EC-90D2-2B5C7E6A71B5}">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8483" id="{3F47F11B-A0E0-4FC1-A8E9-74EA80AF4491}">
            <xm:f>AND(IF(Q309&gt;'F:\Users\norela.briceno\Documents\Plan de acción\Plan Accion 2018\[Plan Accion Integrado ADRES Vigencia 2018 con Cuadro de Mando V6..xlsx]Plan de Accion 2018'!#REF!,Q309&lt;&gt;¨N/A¨))</xm:f>
            <x14:dxf>
              <fill>
                <patternFill>
                  <bgColor theme="1" tint="0.499984740745262"/>
                </patternFill>
              </fill>
            </x14:dxf>
          </x14:cfRule>
          <x14:cfRule type="expression" priority="8484" stopIfTrue="1" id="{97557E00-2127-46B9-9524-69D3C113E016}">
            <xm:f>AND(IF(Q309='F:\Users\norela.briceno\Documents\Plan de acción\Plan Accion 2018\[Plan Accion Integrado ADRES Vigencia 2018 con Cuadro de Mando V6..xlsx]Plan de Accion 2018'!#REF!,Q309&lt;&gt;"N/A"))</xm:f>
            <x14:dxf>
              <fill>
                <patternFill>
                  <bgColor rgb="FF00B050"/>
                </patternFill>
              </fill>
            </x14:dxf>
          </x14:cfRule>
          <x14:cfRule type="expression" priority="8485" stopIfTrue="1" id="{59DA1F39-23A0-4C00-90F0-73812C381242}">
            <xm:f>AND(IF(Q309&lt;'F:\Users\norela.briceno\Documents\Plan de acción\Plan Accion 2018\[Plan Accion Integrado ADRES Vigencia 2018 con Cuadro de Mando V6..xlsx]Plan de Accion 2018'!#REF!,Q309&lt;&gt;"N/A"))</xm:f>
            <x14:dxf>
              <fill>
                <patternFill>
                  <bgColor indexed="10"/>
                </patternFill>
              </fill>
            </x14:dxf>
          </x14:cfRule>
          <xm:sqref>Q309</xm:sqref>
        </x14:conditionalFormatting>
        <x14:conditionalFormatting xmlns:xm="http://schemas.microsoft.com/office/excel/2006/main">
          <x14:cfRule type="expression" priority="8480" id="{A59F1C1E-AC9D-4EF5-90F3-BD74D27D7112}">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8481" stopIfTrue="1" id="{08CE8891-D731-4A64-ABF2-4D8EEBFB38DE}">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8482" stopIfTrue="1" id="{60FCF353-A100-4D14-8914-D5EB581F1F02}">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8477" id="{27E32717-1CFB-4A6D-801D-036E26DCD8DD}">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8478" stopIfTrue="1" id="{F9865CB0-E4E8-4496-A775-5283956E155F}">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8479" stopIfTrue="1" id="{5C23B08C-AB62-44CB-B23B-150E9D2D4E4D}">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8474" id="{4D7EE858-014C-4875-AAAE-B202E2C2ADF7}">
            <xm:f>AND(IF(Q305&gt;'F:\Users\norela.briceno\Documents\Plan de acción\Plan Accion 2018\[Plan Accion Integrado ADRES Vigencia 2018 con Cuadro de Mando V6..xlsx]Plan de Accion 2018'!#REF!,Q305&lt;&gt;¨N/A¨))</xm:f>
            <x14:dxf>
              <fill>
                <patternFill>
                  <bgColor theme="1" tint="0.499984740745262"/>
                </patternFill>
              </fill>
            </x14:dxf>
          </x14:cfRule>
          <x14:cfRule type="expression" priority="8475" stopIfTrue="1" id="{922A55D2-2043-4DEC-9C3F-2EAE835C8F87}">
            <xm:f>AND(IF(Q305='F:\Users\norela.briceno\Documents\Plan de acción\Plan Accion 2018\[Plan Accion Integrado ADRES Vigencia 2018 con Cuadro de Mando V6..xlsx]Plan de Accion 2018'!#REF!,Q305&lt;&gt;"N/A"))</xm:f>
            <x14:dxf>
              <fill>
                <patternFill>
                  <bgColor rgb="FF00B050"/>
                </patternFill>
              </fill>
            </x14:dxf>
          </x14:cfRule>
          <x14:cfRule type="expression" priority="8476" stopIfTrue="1" id="{0688A47A-1666-4CC6-ACBA-C4B48236E1FF}">
            <xm:f>AND(IF(Q305&lt;'F:\Users\norela.briceno\Documents\Plan de acción\Plan Accion 2018\[Plan Accion Integrado ADRES Vigencia 2018 con Cuadro de Mando V6..xlsx]Plan de Accion 2018'!#REF!,Q305&lt;&gt;"N/A"))</xm:f>
            <x14:dxf>
              <fill>
                <patternFill>
                  <bgColor indexed="10"/>
                </patternFill>
              </fill>
            </x14:dxf>
          </x14:cfRule>
          <xm:sqref>Q305</xm:sqref>
        </x14:conditionalFormatting>
        <x14:conditionalFormatting xmlns:xm="http://schemas.microsoft.com/office/excel/2006/main">
          <x14:cfRule type="expression" priority="8468" id="{7AFF9AA7-A0B6-4133-876A-57FC8E9BE616}">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8469" stopIfTrue="1" id="{DE48BC5C-4574-430E-96AD-5A82AD0476E8}">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8470" stopIfTrue="1" id="{6A2DC972-8E6C-42FA-B999-5CC8EB8B3C08}">
            <xm:f>AND(IF(Q301&lt;'F:\Users\norela.briceno\Documents\Plan de acción\Plan Accion 2018\[Plan Accion Integrado ADRES Vigencia 2018 con Cuadro de Mando V6..xlsx]Plan de Accion 2018'!#REF!,Q301&lt;&gt;"N/A"))</xm:f>
            <x14:dxf>
              <fill>
                <patternFill>
                  <bgColor indexed="10"/>
                </patternFill>
              </fill>
            </x14:dxf>
          </x14:cfRule>
          <xm:sqref>Q301</xm:sqref>
        </x14:conditionalFormatting>
        <x14:conditionalFormatting xmlns:xm="http://schemas.microsoft.com/office/excel/2006/main">
          <x14:cfRule type="expression" priority="8465" id="{DB8AB4B3-13B8-4731-9DEC-2695249ED57D}">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8466" stopIfTrue="1" id="{ABED446F-2E3D-4A97-995E-0CB7411240C9}">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8467" stopIfTrue="1" id="{AF719678-3B89-4B4D-870B-BA4633711913}">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8462" id="{D8D87B07-06E4-4634-8318-052D5707A2A7}">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8463" stopIfTrue="1" id="{E7408FD0-9A96-46A2-AADB-444923134D45}">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8464" stopIfTrue="1" id="{A3E656B9-301D-424B-AA6D-2EE250F91CAA}">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8459" id="{B7ADEEF5-E7D6-4137-ACFF-2CBBEA6CFEE5}">
            <xm:f>AND(IF(Q297&gt;'F:\Users\norela.briceno\Documents\Plan de acción\Plan Accion 2018\[Plan Accion Integrado ADRES Vigencia 2018 con Cuadro de Mando V6..xlsx]Plan de Accion 2018'!#REF!,Q297&lt;&gt;¨N/A¨))</xm:f>
            <x14:dxf>
              <fill>
                <patternFill>
                  <bgColor theme="1" tint="0.499984740745262"/>
                </patternFill>
              </fill>
            </x14:dxf>
          </x14:cfRule>
          <x14:cfRule type="expression" priority="8460" stopIfTrue="1" id="{E19F388A-8885-4A14-B1FF-AB0070E64F29}">
            <xm:f>AND(IF(Q297='F:\Users\norela.briceno\Documents\Plan de acción\Plan Accion 2018\[Plan Accion Integrado ADRES Vigencia 2018 con Cuadro de Mando V6..xlsx]Plan de Accion 2018'!#REF!,Q297&lt;&gt;"N/A"))</xm:f>
            <x14:dxf>
              <fill>
                <patternFill>
                  <bgColor rgb="FF00B050"/>
                </patternFill>
              </fill>
            </x14:dxf>
          </x14:cfRule>
          <x14:cfRule type="expression" priority="8461" stopIfTrue="1" id="{412F2353-869D-4BA4-A631-CFF4813517DC}">
            <xm:f>AND(IF(Q297&lt;'F:\Users\norela.briceno\Documents\Plan de acción\Plan Accion 2018\[Plan Accion Integrado ADRES Vigencia 2018 con Cuadro de Mando V6..xlsx]Plan de Accion 2018'!#REF!,Q297&lt;&gt;"N/A"))</xm:f>
            <x14:dxf>
              <fill>
                <patternFill>
                  <bgColor indexed="10"/>
                </patternFill>
              </fill>
            </x14:dxf>
          </x14:cfRule>
          <xm:sqref>Q297</xm:sqref>
        </x14:conditionalFormatting>
        <x14:conditionalFormatting xmlns:xm="http://schemas.microsoft.com/office/excel/2006/main">
          <x14:cfRule type="expression" priority="8456" id="{836EB339-266D-4EDC-B4BF-A243E5402E3B}">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8457" stopIfTrue="1" id="{82FB3BC5-344D-41EC-B66B-C2F86C4CD312}">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8458" stopIfTrue="1" id="{194B1924-8796-44CA-A59F-42D34CB97208}">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8453" id="{218B9540-79A0-4228-AD96-8FB607CE9B34}">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8454" stopIfTrue="1" id="{4217F48A-DA59-46CA-AABB-9861B878AB3E}">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8455" stopIfTrue="1" id="{248DE532-9BC9-4E49-A751-17C8B2FCCD1E}">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8450" id="{E3B166DC-A35E-43FE-9DF6-AA3E76F76840}">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8451" stopIfTrue="1" id="{C960ADBB-A933-40F6-A6DF-9EC7A66CB3A6}">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8452" stopIfTrue="1" id="{7C8DEBA2-D849-4958-948C-20CA3BBD7D12}">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8447" id="{32ADA052-E3BA-4D2C-8C24-21EFFE081894}">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448" stopIfTrue="1" id="{72E3B2A0-F278-45AC-BD84-14B1FE3AE71C}">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449" stopIfTrue="1" id="{78B3DF96-C2D6-4004-BEFD-2381DF887409}">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444" id="{7BCCF3B7-1331-4450-996A-73EC35DDBE7D}">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8445" stopIfTrue="1" id="{F28E4655-CF83-467D-9D17-6607F31BBF84}">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8446" stopIfTrue="1" id="{93A84798-E8D1-4829-B4F5-D5ADD775C3C6}">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8441" id="{9C440EF3-7860-4DD0-A0C6-F04CAC426B87}">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8442" stopIfTrue="1" id="{24260473-5B34-4B01-BA96-F8E288D9AA3C}">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8443" stopIfTrue="1" id="{FF65AB1E-3AD4-4737-99A4-67B2EDD3F345}">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8438" id="{9207E794-ECF5-46D1-9A0A-9E2035C14C0D}">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8439" stopIfTrue="1" id="{25560152-F61D-4DCD-ADC4-601B4E25C8AA}">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8440" stopIfTrue="1" id="{EC45CD89-74E9-4256-B39E-B129B473C85B}">
            <xm:f>AND(IF(Q281&lt;'F:\Users\norela.briceno\Documents\Plan de acción\Plan Accion 2018\[Plan Accion Integrado ADRES Vigencia 2018 con Cuadro de Mando V6..xlsx]Plan de Accion 2018'!#REF!,Q281&lt;&gt;"N/A"))</xm:f>
            <x14:dxf>
              <fill>
                <patternFill>
                  <bgColor indexed="10"/>
                </patternFill>
              </fill>
            </x14:dxf>
          </x14:cfRule>
          <xm:sqref>Q281</xm:sqref>
        </x14:conditionalFormatting>
        <x14:conditionalFormatting xmlns:xm="http://schemas.microsoft.com/office/excel/2006/main">
          <x14:cfRule type="expression" priority="8435" id="{6267B253-9E91-4C4B-B811-0BF71BFAD79B}">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8436" stopIfTrue="1" id="{B88633DC-ED8B-4CE2-B2FF-C3A356F8E35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8437" stopIfTrue="1" id="{41D85693-8C8F-4719-8AF1-3F393D83E1C1}">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8432" id="{60D34CA8-AD89-4E61-B3B5-848D175BE4D4}">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8433" stopIfTrue="1" id="{F49279E3-10B3-44A0-944E-E6C46BA3F537}">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8434" stopIfTrue="1" id="{ED57B0C9-B10B-4A7E-A844-2681DD1CB460}">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8429" id="{903E05A1-7840-4A21-998A-5F7511048A08}">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8430" stopIfTrue="1" id="{CB57298C-C95E-4936-A235-3315D0B8F891}">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8431" stopIfTrue="1" id="{2154DF10-393C-4C8D-A7BD-839DEF28E8F9}">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8426" id="{4FAC7172-DDF5-4314-857D-087D51F3B164}">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8427" stopIfTrue="1" id="{2939C42F-92BD-4752-9394-AAA97521E974}">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8428" stopIfTrue="1" id="{94B4D1F1-4ACB-4FDD-A359-CC1B3BD7D47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8423" id="{54C3AD6A-724E-4391-99AF-867E6A93ED6A}">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8424" stopIfTrue="1" id="{D45070E1-7DE9-4D00-A999-6E98A133DEB2}">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8425" stopIfTrue="1" id="{F099F879-0972-4C61-9B22-371149C86269}">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8420" id="{00FCEDDD-4AB2-424E-86D0-2875C2CA9365}">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8421" stopIfTrue="1" id="{83573090-F625-4817-93D9-5F0D4560003E}">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8422" stopIfTrue="1" id="{7D7216F7-5546-4729-81B9-9B823BC2FC2D}">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8417" id="{6CF3ACC3-5147-4CC4-9428-846C630FD763}">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8418" stopIfTrue="1" id="{0B80E16E-162A-4A52-844A-2FE5A82F0F2D}">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8419" stopIfTrue="1" id="{C3CDC453-7185-419F-AF67-2D5BF84CFDE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8414" id="{4C3E909C-D989-445F-A9DE-8A41059D0D3A}">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8415" stopIfTrue="1" id="{B3637E8D-EC80-4F26-8708-968003326D9D}">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8416" stopIfTrue="1" id="{96BF8A69-3660-4C48-991C-DD3218310390}">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8411" id="{E8410DCE-F1B8-4B38-867A-9309122B3E96}">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8412" stopIfTrue="1" id="{C53009D0-54C0-4EAA-AE48-83A2401C82BA}">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8413" stopIfTrue="1" id="{91D61431-3A2B-479F-BA33-2FFD5FE0D94A}">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8408" id="{D3547650-DD2E-409E-9C1E-AB94B486DAB5}">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8409" stopIfTrue="1" id="{A733E44F-138E-49BD-A186-1B451909520B}">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8410" stopIfTrue="1" id="{D990B784-7B65-4A46-AE0B-B58279FC5C7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8366" id="{2F07D530-BE55-43D2-9F5E-25D0D0D93442}">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8367" stopIfTrue="1" id="{4D085D8F-B65E-4299-8F17-557BCB360078}">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8368" stopIfTrue="1" id="{B8DA13EC-3557-45F4-B485-D582BA328AA7}">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8402" id="{1E2D09D2-0733-42C4-9AF5-A5D35C84A9BD}">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8403" stopIfTrue="1" id="{1A4EB3AF-16C5-41CE-95C2-A020F8117B53}">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8404" stopIfTrue="1" id="{41A316C2-FDB6-4AB0-AEE9-0F847B49599A}">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8399" id="{E7C0FD2B-CE26-4825-9C5D-0521747E865C}">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8400" stopIfTrue="1" id="{5FE2F556-976C-485B-9791-E006C1E490E5}">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8401" stopIfTrue="1" id="{3B74B324-3C2A-4B99-9B76-9C2E1EC69C71}">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8396" id="{4D8F727A-1E31-435F-81F4-D7D46B54974A}">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8397" stopIfTrue="1" id="{988CA33E-F1E7-4A95-9AA4-389019DFFA53}">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8398" stopIfTrue="1" id="{784D0B97-1FD8-49C3-A38D-44E791B178C2}">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8393" id="{C6718257-64BB-4797-B0BC-240344834122}">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8394" stopIfTrue="1" id="{9E21A80B-F243-46B9-AC32-A5F76F57F488}">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8395" stopIfTrue="1" id="{C575DEE4-C831-4FF1-9151-CDABFF91F127}">
            <xm:f>AND(IF(Q265&lt;'F:\Users\norela.briceno\Documents\Plan de acción\Plan Accion 2018\[Plan Accion Integrado ADRES Vigencia 2018 con Cuadro de Mando V6..xlsx]Plan de Accion 2018'!#REF!,Q265&lt;&gt;"N/A"))</xm:f>
            <x14:dxf>
              <fill>
                <patternFill>
                  <bgColor indexed="10"/>
                </patternFill>
              </fill>
            </x14:dxf>
          </x14:cfRule>
          <xm:sqref>Q265</xm:sqref>
        </x14:conditionalFormatting>
        <x14:conditionalFormatting xmlns:xm="http://schemas.microsoft.com/office/excel/2006/main">
          <x14:cfRule type="expression" priority="8390" id="{8AEA59F4-75BE-44E7-8089-BDF53B124999}">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8391" stopIfTrue="1" id="{D3DCC1E6-1B31-43D2-8FD2-467A193F348C}">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8392" stopIfTrue="1" id="{94ABD2EA-58E3-4EBF-A4AA-649A1B48680C}">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8387" id="{8D4FF44B-6E2B-4697-A04D-184FC082DF4B}">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8388" stopIfTrue="1" id="{183A8255-6B04-4B48-92E6-91479399637D}">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8389" stopIfTrue="1" id="{48F2D5D3-04C3-4148-8062-405B2553BDF1}">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8384" id="{DD08D258-8181-4F65-89E0-53F3653BBD4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8385" stopIfTrue="1" id="{AA820DF7-D55D-49CF-BE2B-6098A130A6F2}">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8386" stopIfTrue="1" id="{27F2FDFF-612A-4ACC-A2F7-763ABA8234D8}">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8381" id="{74B064E8-CBEE-4576-9FBE-CFA076C8C168}">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8382" stopIfTrue="1" id="{7DB5ECAD-BB68-4E6D-A638-173B57EFD7AE}">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8383" stopIfTrue="1" id="{D9ED3F5D-A0EE-4B11-88B3-2E4EA1D82E22}">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8378" id="{4F0C4D83-7BEE-40C2-97D6-29FCB7E4B6DF}">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8379" stopIfTrue="1" id="{BA61EB16-7000-4B42-B207-2391A56D511C}">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8380" stopIfTrue="1" id="{874C7AEC-B69E-4C99-AD10-A851465E86FA}">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8375" id="{7261D8A0-46B5-4D04-A166-B3F6978963A9}">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8376" stopIfTrue="1" id="{9CC7F0BD-4256-4F24-B395-F41E20B0C340}">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8377" stopIfTrue="1" id="{8DEAB5FB-2597-4832-9A02-8A50C001020E}">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8372" id="{412A7B8A-FCF6-47C5-A006-882DD5F5392F}">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8373" stopIfTrue="1" id="{7CA9BE4C-62BA-4B19-BD36-0CF83445CB6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8374" stopIfTrue="1" id="{2C19F9BD-0E60-43B7-ACEE-4849BE4CADF8}">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8369" id="{D5D0A3F0-5A05-4F30-B6E5-61E180EFFC4D}">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8370" stopIfTrue="1" id="{B7A8A026-AE7A-45E9-88C1-EDC84973AF1B}">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8371" stopIfTrue="1" id="{08C6A71E-CE83-4150-9687-12DDF2762A13}">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8363" id="{DF2DDF2A-8933-4F5A-AF8C-7697C8CC5EFF}">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8364" stopIfTrue="1" id="{E6F2B62E-4741-43D6-A7A8-4F51FDBDE10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8365" stopIfTrue="1" id="{8F962656-5FB8-4BA6-B390-0275B72DB106}">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8360" id="{E8B674D3-42C2-420E-B5DE-37E700C1D927}">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8361" stopIfTrue="1" id="{94A0298D-1E61-4EAE-8F32-FA88412FF50A}">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8362" stopIfTrue="1" id="{1CD55B05-0E89-4DE8-8293-0FA3C5100A7C}">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8357" id="{8212538F-4EF6-438B-9D73-04578E6D88D4}">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8358" stopIfTrue="1" id="{4506CA3B-B829-429B-9AD3-318379EA49DA}">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8359" stopIfTrue="1" id="{52EA98E4-09B2-4E66-B002-41AAF4784B8D}">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8354" id="{8A49D60A-352C-49F8-A483-F09BDD57CDEE}">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8355" stopIfTrue="1" id="{6C11AD44-26CC-4381-A64B-1EC669EABB14}">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8356" stopIfTrue="1" id="{F35EE8A2-FB56-41E7-8E75-935803E89792}">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8351" id="{BA572D3D-9378-406C-92A1-438727259487}">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352" stopIfTrue="1" id="{9491E56B-527C-4BAF-8441-EBE7A266166A}">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353" stopIfTrue="1" id="{F3C84872-95AC-4371-935A-368FEF91A849}">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8348" id="{E7B71B23-1E6A-4976-9413-209E92B1D604}">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8349" stopIfTrue="1" id="{227F23AC-6CCF-4C9A-8547-F87667224D40}">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8350" stopIfTrue="1" id="{DBCF1DDB-ED2A-4AEB-907B-F8436A41A8C2}">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8345" id="{21577FCA-E68C-4BA4-B408-B65038C2B41F}">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8346" stopIfTrue="1" id="{A8869639-F6E8-4A07-92C5-F4641A26F378}">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8347" stopIfTrue="1" id="{A19DC533-E548-457A-AAF7-4952450E6A44}">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8342" id="{8E9A9087-A3BE-443C-8F9B-C8B18CB8DAEA}">
            <xm:f>AND(IF(Q361&gt;'F:\Users\norela.briceno\Documents\Plan de acción\Plan Accion 2018\[Plan Accion Integrado ADRES Vigencia 2018 con Cuadro de Mando V6..xlsx]Plan de Accion 2018'!#REF!,Q361&lt;&gt;¨N/A¨))</xm:f>
            <x14:dxf>
              <fill>
                <patternFill>
                  <bgColor theme="1" tint="0.499984740745262"/>
                </patternFill>
              </fill>
            </x14:dxf>
          </x14:cfRule>
          <x14:cfRule type="expression" priority="8343" stopIfTrue="1" id="{6A759C2F-0440-4D8B-9A98-6A7512E90AA0}">
            <xm:f>AND(IF(Q361='F:\Users\norela.briceno\Documents\Plan de acción\Plan Accion 2018\[Plan Accion Integrado ADRES Vigencia 2018 con Cuadro de Mando V6..xlsx]Plan de Accion 2018'!#REF!,Q361&lt;&gt;"N/A"))</xm:f>
            <x14:dxf>
              <fill>
                <patternFill>
                  <bgColor rgb="FF00B050"/>
                </patternFill>
              </fill>
            </x14:dxf>
          </x14:cfRule>
          <x14:cfRule type="expression" priority="8344" stopIfTrue="1" id="{1E6EF003-42AC-4D47-BA39-8CC8C0E5D3BB}">
            <xm:f>AND(IF(Q361&lt;'F:\Users\norela.briceno\Documents\Plan de acción\Plan Accion 2018\[Plan Accion Integrado ADRES Vigencia 2018 con Cuadro de Mando V6..xlsx]Plan de Accion 2018'!#REF!,Q361&lt;&gt;"N/A"))</xm:f>
            <x14:dxf>
              <fill>
                <patternFill>
                  <bgColor indexed="10"/>
                </patternFill>
              </fill>
            </x14:dxf>
          </x14:cfRule>
          <xm:sqref>Q361</xm:sqref>
        </x14:conditionalFormatting>
        <x14:conditionalFormatting xmlns:xm="http://schemas.microsoft.com/office/excel/2006/main">
          <x14:cfRule type="expression" priority="8339" id="{80B22C1A-F19F-4ACC-AFF2-42CE83018D3D}">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8340" stopIfTrue="1" id="{7BF79D33-808D-40D5-8E20-D0119BF724B7}">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8341" stopIfTrue="1" id="{8E09D616-33D3-42CA-B9F2-52CAFDADA3A3}">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8336" id="{243535CB-4817-4C1A-8C12-321706690F1E}">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8337" stopIfTrue="1" id="{CA9DE4A1-D0A6-46EF-9A39-F227C271BD2A}">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8338" stopIfTrue="1" id="{A4EA7926-259C-4766-89B8-05FF7599112B}">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8333" id="{EEEE11B0-F4B1-4C51-A7D9-E2CFD4867936}">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8334" stopIfTrue="1" id="{25342094-88AE-487B-BD7C-1288471D7BCA}">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8335" stopIfTrue="1" id="{11E3C403-97EC-49E2-80E2-2E67C29A33ED}">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8330" id="{0CCA29E5-4A49-4D67-8449-45FFEC3355F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8331" stopIfTrue="1" id="{58E88CD6-3600-43AD-B8F3-89C4E3CDBD30}">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8332" stopIfTrue="1" id="{4C9C9E1C-5E1E-4BB1-8E7B-0263B8A04900}">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8327" id="{AB9F732A-8BB8-4900-8867-1D83F8BCDC1B}">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8328" stopIfTrue="1" id="{152DBB52-D35E-447C-AB9E-E4D248FE6E3E}">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8329" stopIfTrue="1" id="{12B1EFB5-45A7-47FF-B9C1-47DD818233F9}">
            <xm:f>AND(IF(Q217&lt;'F:\Users\norela.briceno\Documents\Plan de acción\Plan Accion 2018\[Plan Accion Integrado ADRES Vigencia 2018 con Cuadro de Mando V6..xlsx]Plan de Accion 2018'!#REF!,Q217&lt;&gt;"N/A"))</xm:f>
            <x14:dxf>
              <fill>
                <patternFill>
                  <bgColor indexed="10"/>
                </patternFill>
              </fill>
            </x14:dxf>
          </x14:cfRule>
          <xm:sqref>Q217</xm:sqref>
        </x14:conditionalFormatting>
        <x14:conditionalFormatting xmlns:xm="http://schemas.microsoft.com/office/excel/2006/main">
          <x14:cfRule type="expression" priority="8324" id="{268696CB-151D-4D3B-ADD8-C7697BE859AD}">
            <xm:f>AND(IF(Q216&gt;'F:\Users\norela.briceno\Documents\Plan de acción\Plan Accion 2018\[Plan Accion Integrado ADRES Vigencia 2018 con Cuadro de Mando V6..xlsx]Plan de Accion 2018'!#REF!,Q216&lt;&gt;¨N/A¨))</xm:f>
            <x14:dxf>
              <fill>
                <patternFill>
                  <bgColor theme="1" tint="0.499984740745262"/>
                </patternFill>
              </fill>
            </x14:dxf>
          </x14:cfRule>
          <x14:cfRule type="expression" priority="8325" stopIfTrue="1" id="{CBACFA9C-FA3E-498D-A793-26964BCFC394}">
            <xm:f>AND(IF(Q216='F:\Users\norela.briceno\Documents\Plan de acción\Plan Accion 2018\[Plan Accion Integrado ADRES Vigencia 2018 con Cuadro de Mando V6..xlsx]Plan de Accion 2018'!#REF!,Q216&lt;&gt;"N/A"))</xm:f>
            <x14:dxf>
              <fill>
                <patternFill>
                  <bgColor rgb="FF00B050"/>
                </patternFill>
              </fill>
            </x14:dxf>
          </x14:cfRule>
          <x14:cfRule type="expression" priority="8326" stopIfTrue="1" id="{F3C2F469-8F37-4BA5-B64B-01E1FD818DA6}">
            <xm:f>AND(IF(Q216&lt;'F:\Users\norela.briceno\Documents\Plan de acción\Plan Accion 2018\[Plan Accion Integrado ADRES Vigencia 2018 con Cuadro de Mando V6..xlsx]Plan de Accion 2018'!#REF!,Q216&lt;&gt;"N/A"))</xm:f>
            <x14:dxf>
              <fill>
                <patternFill>
                  <bgColor indexed="10"/>
                </patternFill>
              </fill>
            </x14:dxf>
          </x14:cfRule>
          <xm:sqref>Q216</xm:sqref>
        </x14:conditionalFormatting>
        <x14:conditionalFormatting xmlns:xm="http://schemas.microsoft.com/office/excel/2006/main">
          <x14:cfRule type="expression" priority="8321" id="{B9F306A1-F535-4E96-B7D3-9743F8D3F706}">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8322" stopIfTrue="1" id="{A34A957D-15FF-4717-8A4F-8EE24BC50670}">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8323" stopIfTrue="1" id="{B08B57EB-2674-40F9-B81F-F07B87505A32}">
            <xm:f>AND(IF(Q215&lt;'F:\Users\norela.briceno\Documents\Plan de acción\Plan Accion 2018\[Plan Accion Integrado ADRES Vigencia 2018 con Cuadro de Mando V6..xlsx]Plan de Accion 2018'!#REF!,Q215&lt;&gt;"N/A"))</xm:f>
            <x14:dxf>
              <fill>
                <patternFill>
                  <bgColor indexed="10"/>
                </patternFill>
              </fill>
            </x14:dxf>
          </x14:cfRule>
          <xm:sqref>Q215</xm:sqref>
        </x14:conditionalFormatting>
        <x14:conditionalFormatting xmlns:xm="http://schemas.microsoft.com/office/excel/2006/main">
          <x14:cfRule type="expression" priority="8318" id="{A245F5A0-B22C-49AE-B754-F0CAA18C5AE9}">
            <xm:f>AND(IF(Q214&gt;'F:\Users\norela.briceno\Documents\Plan de acción\Plan Accion 2018\[Plan Accion Integrado ADRES Vigencia 2018 con Cuadro de Mando V6..xlsx]Plan de Accion 2018'!#REF!,Q214&lt;&gt;¨N/A¨))</xm:f>
            <x14:dxf>
              <fill>
                <patternFill>
                  <bgColor theme="1" tint="0.499984740745262"/>
                </patternFill>
              </fill>
            </x14:dxf>
          </x14:cfRule>
          <x14:cfRule type="expression" priority="8319" stopIfTrue="1" id="{948C908B-E33A-48EA-A971-A0516A320347}">
            <xm:f>AND(IF(Q214='F:\Users\norela.briceno\Documents\Plan de acción\Plan Accion 2018\[Plan Accion Integrado ADRES Vigencia 2018 con Cuadro de Mando V6..xlsx]Plan de Accion 2018'!#REF!,Q214&lt;&gt;"N/A"))</xm:f>
            <x14:dxf>
              <fill>
                <patternFill>
                  <bgColor rgb="FF00B050"/>
                </patternFill>
              </fill>
            </x14:dxf>
          </x14:cfRule>
          <x14:cfRule type="expression" priority="8320" stopIfTrue="1" id="{0F8F6A38-00B4-4EB4-861E-F6246C94F7E4}">
            <xm:f>AND(IF(Q214&lt;'F:\Users\norela.briceno\Documents\Plan de acción\Plan Accion 2018\[Plan Accion Integrado ADRES Vigencia 2018 con Cuadro de Mando V6..xlsx]Plan de Accion 2018'!#REF!,Q214&lt;&gt;"N/A"))</xm:f>
            <x14:dxf>
              <fill>
                <patternFill>
                  <bgColor indexed="10"/>
                </patternFill>
              </fill>
            </x14:dxf>
          </x14:cfRule>
          <xm:sqref>Q214</xm:sqref>
        </x14:conditionalFormatting>
        <x14:conditionalFormatting xmlns:xm="http://schemas.microsoft.com/office/excel/2006/main">
          <x14:cfRule type="expression" priority="8315" id="{1179F379-4C8E-4027-83D1-874427FE8D93}">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8316" stopIfTrue="1" id="{26F5C4B9-32F3-47C3-9E56-7D9ED0F76E79}">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8317" stopIfTrue="1" id="{822C0EDA-0259-4892-A402-8F19CFE89B5A}">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8312" id="{E3ADF93F-28F1-4807-AF27-9CB9A4F2D001}">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8313" stopIfTrue="1" id="{E6824D67-F6FC-41A6-98F1-EA439F406BC4}">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8314" stopIfTrue="1" id="{F32B000B-E2EE-4017-858E-51367BEC0FD0}">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8309" id="{4AEB9673-5520-465E-865D-C7B472D13047}">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8310" stopIfTrue="1" id="{3CC6EAE9-3A70-436E-BEE1-D2E8FD830EA6}">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8311" stopIfTrue="1" id="{5CF79544-49D0-43EC-AB8E-D6CDBBF21266}">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8306" id="{9C774A12-4E79-4397-B1C7-C238D29B4B1E}">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8307" stopIfTrue="1" id="{BF883D94-B7F1-4428-8170-A49B2469209C}">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8308" stopIfTrue="1" id="{E76F780A-111C-4AC9-B259-8DCEA614BE9E}">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8303" id="{135ECAA3-C736-452A-8A64-96DBADF945C0}">
            <xm:f>AND(IF(Q203&gt;'F:\Users\norela.briceno\Documents\Plan de acción\Plan Accion 2018\[Plan Accion Integrado ADRES Vigencia 2018 con Cuadro de Mando V6..xlsx]Plan de Accion 2018'!#REF!,Q203&lt;&gt;¨N/A¨))</xm:f>
            <x14:dxf>
              <fill>
                <patternFill>
                  <bgColor theme="1" tint="0.499984740745262"/>
                </patternFill>
              </fill>
            </x14:dxf>
          </x14:cfRule>
          <x14:cfRule type="expression" priority="8304" stopIfTrue="1" id="{9609E5A3-496B-4D0D-982A-C7044C21B925}">
            <xm:f>AND(IF(Q203='F:\Users\norela.briceno\Documents\Plan de acción\Plan Accion 2018\[Plan Accion Integrado ADRES Vigencia 2018 con Cuadro de Mando V6..xlsx]Plan de Accion 2018'!#REF!,Q203&lt;&gt;"N/A"))</xm:f>
            <x14:dxf>
              <fill>
                <patternFill>
                  <bgColor rgb="FF00B050"/>
                </patternFill>
              </fill>
            </x14:dxf>
          </x14:cfRule>
          <x14:cfRule type="expression" priority="8305" stopIfTrue="1" id="{6A7BE756-222F-4461-A4CA-2609430EADED}">
            <xm:f>AND(IF(Q203&lt;'F:\Users\norela.briceno\Documents\Plan de acción\Plan Accion 2018\[Plan Accion Integrado ADRES Vigencia 2018 con Cuadro de Mando V6..xlsx]Plan de Accion 2018'!#REF!,Q203&lt;&gt;"N/A"))</xm:f>
            <x14:dxf>
              <fill>
                <patternFill>
                  <bgColor indexed="10"/>
                </patternFill>
              </fill>
            </x14:dxf>
          </x14:cfRule>
          <xm:sqref>Q203</xm:sqref>
        </x14:conditionalFormatting>
        <x14:conditionalFormatting xmlns:xm="http://schemas.microsoft.com/office/excel/2006/main">
          <x14:cfRule type="expression" priority="8300" id="{A9FEC2FD-FADF-47AC-88D9-F7AC07F7C425}">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8301" stopIfTrue="1" id="{FB22A47D-0E47-4910-A35D-D2128F71AAF1}">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8302" stopIfTrue="1" id="{855FA3A6-54AC-4A33-91ED-44DA78571CAD}">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8297" id="{A9119D4A-9B28-4CE2-B550-0BDFA8C00FEA}">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8298" stopIfTrue="1" id="{B27F3302-5161-4DC9-AD9B-CDD6FB0EEFCB}">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8299" stopIfTrue="1" id="{190208EA-6BFF-4B6E-95C6-2FD2076F463C}">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8294" id="{CB9C6910-A261-4BEE-BD97-65D9EDC8850F}">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8295" stopIfTrue="1" id="{0814B8A7-5DF5-480D-9673-85CAC3BE49AB}">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8296" stopIfTrue="1" id="{3A2F4A41-B02C-4FF3-B424-2A63C7656D4F}">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8291" id="{F5BD26BA-85B5-4F7D-87AF-F7485454625D}">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8292" stopIfTrue="1" id="{0A4E14BC-DC7D-48D1-9912-E844389A3EAD}">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8293" stopIfTrue="1" id="{C226F279-55F6-4FB6-99FC-DB9A931B24B7}">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8288" id="{F88176A3-65E6-427D-9C88-0C51BECF8ADA}">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8289" stopIfTrue="1" id="{7F140A3A-C83F-4F5E-8C90-6AAA0E6A653E}">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8290" stopIfTrue="1" id="{A302FD21-12EC-4544-9D84-898D575E63F0}">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8285" id="{426C80D4-EE3E-4F2C-BD1A-75A1BA92DA84}">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8286" stopIfTrue="1" id="{E82FD5A8-A307-4646-B282-8248E158C4B6}">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8287" stopIfTrue="1" id="{C3526A9A-7BBB-46FE-8DFE-55DFB645108D}">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8282" id="{BD31C8C9-7C90-43ED-A0F9-7A1154216421}">
            <xm:f>AND(IF(Q192&gt;'F:\Users\norela.briceno\Documents\Plan de acción\Plan Accion 2018\[Plan Accion Integrado ADRES Vigencia 2018 con Cuadro de Mando V6..xlsx]Plan de Accion 2018'!#REF!,Q192&lt;&gt;¨N/A¨))</xm:f>
            <x14:dxf>
              <fill>
                <patternFill>
                  <bgColor theme="1" tint="0.499984740745262"/>
                </patternFill>
              </fill>
            </x14:dxf>
          </x14:cfRule>
          <x14:cfRule type="expression" priority="8283" stopIfTrue="1" id="{C22ECE0E-5686-46E7-9BC4-8D55A8BCA8FB}">
            <xm:f>AND(IF(Q192='F:\Users\norela.briceno\Documents\Plan de acción\Plan Accion 2018\[Plan Accion Integrado ADRES Vigencia 2018 con Cuadro de Mando V6..xlsx]Plan de Accion 2018'!#REF!,Q192&lt;&gt;"N/A"))</xm:f>
            <x14:dxf>
              <fill>
                <patternFill>
                  <bgColor rgb="FF00B050"/>
                </patternFill>
              </fill>
            </x14:dxf>
          </x14:cfRule>
          <x14:cfRule type="expression" priority="8284" stopIfTrue="1" id="{433341C0-EE7D-45C3-B435-28BEF7F815FA}">
            <xm:f>AND(IF(Q192&lt;'F:\Users\norela.briceno\Documents\Plan de acción\Plan Accion 2018\[Plan Accion Integrado ADRES Vigencia 2018 con Cuadro de Mando V6..xlsx]Plan de Accion 2018'!#REF!,Q192&lt;&gt;"N/A"))</xm:f>
            <x14:dxf>
              <fill>
                <patternFill>
                  <bgColor indexed="10"/>
                </patternFill>
              </fill>
            </x14:dxf>
          </x14:cfRule>
          <xm:sqref>Q192</xm:sqref>
        </x14:conditionalFormatting>
        <x14:conditionalFormatting xmlns:xm="http://schemas.microsoft.com/office/excel/2006/main">
          <x14:cfRule type="expression" priority="8279" id="{130C7075-FDD1-48FD-BB5F-D7F597AF12E7}">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8280" stopIfTrue="1" id="{241B989C-923E-453C-B6F3-A2332C85BC8F}">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8281" stopIfTrue="1" id="{27EAB651-7EE6-445D-90C6-26D1B184D26F}">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8276" id="{C8BB0DA0-40E3-4079-BA0D-3B7FA40F989C}">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8277" stopIfTrue="1" id="{49D09E95-F701-40B5-89CD-8DA3CBEA3F94}">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8278" stopIfTrue="1" id="{04075CFF-D47D-4E97-B14A-17F26154B3F4}">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8273" id="{7912BBE8-2139-47DB-93E9-EE2486EE55FA}">
            <xm:f>AND(IF(Q182&gt;'F:\Users\norela.briceno\Documents\Plan de acción\Plan Accion 2018\[Plan Accion Integrado ADRES Vigencia 2018 con Cuadro de Mando V6..xlsx]Plan de Accion 2018'!#REF!,Q182&lt;&gt;¨N/A¨))</xm:f>
            <x14:dxf>
              <fill>
                <patternFill>
                  <bgColor theme="1" tint="0.499984740745262"/>
                </patternFill>
              </fill>
            </x14:dxf>
          </x14:cfRule>
          <x14:cfRule type="expression" priority="8274" stopIfTrue="1" id="{0E52E894-0BD2-42CC-8E45-B7D60904D2C6}">
            <xm:f>AND(IF(Q182='F:\Users\norela.briceno\Documents\Plan de acción\Plan Accion 2018\[Plan Accion Integrado ADRES Vigencia 2018 con Cuadro de Mando V6..xlsx]Plan de Accion 2018'!#REF!,Q182&lt;&gt;"N/A"))</xm:f>
            <x14:dxf>
              <fill>
                <patternFill>
                  <bgColor rgb="FF00B050"/>
                </patternFill>
              </fill>
            </x14:dxf>
          </x14:cfRule>
          <x14:cfRule type="expression" priority="8275" stopIfTrue="1" id="{E529EA68-B2D1-47A6-91DB-DFAE3163D9D8}">
            <xm:f>AND(IF(Q182&lt;'F:\Users\norela.briceno\Documents\Plan de acción\Plan Accion 2018\[Plan Accion Integrado ADRES Vigencia 2018 con Cuadro de Mando V6..xlsx]Plan de Accion 2018'!#REF!,Q182&lt;&gt;"N/A"))</xm:f>
            <x14:dxf>
              <fill>
                <patternFill>
                  <bgColor indexed="10"/>
                </patternFill>
              </fill>
            </x14:dxf>
          </x14:cfRule>
          <xm:sqref>Q182</xm:sqref>
        </x14:conditionalFormatting>
        <x14:conditionalFormatting xmlns:xm="http://schemas.microsoft.com/office/excel/2006/main">
          <x14:cfRule type="expression" priority="8270" id="{C2D83216-FA2E-4214-9563-59A9BC10A82F}">
            <xm:f>AND(IF(Q181&gt;'F:\Users\norela.briceno\Documents\Plan de acción\Plan Accion 2018\[Plan Accion Integrado ADRES Vigencia 2018 con Cuadro de Mando V6..xlsx]Plan de Accion 2018'!#REF!,Q181&lt;&gt;¨N/A¨))</xm:f>
            <x14:dxf>
              <fill>
                <patternFill>
                  <bgColor theme="1" tint="0.499984740745262"/>
                </patternFill>
              </fill>
            </x14:dxf>
          </x14:cfRule>
          <x14:cfRule type="expression" priority="8271" stopIfTrue="1" id="{A57B7B26-8E19-45E2-A4E0-78215D03E91D}">
            <xm:f>AND(IF(Q181='F:\Users\norela.briceno\Documents\Plan de acción\Plan Accion 2018\[Plan Accion Integrado ADRES Vigencia 2018 con Cuadro de Mando V6..xlsx]Plan de Accion 2018'!#REF!,Q181&lt;&gt;"N/A"))</xm:f>
            <x14:dxf>
              <fill>
                <patternFill>
                  <bgColor rgb="FF00B050"/>
                </patternFill>
              </fill>
            </x14:dxf>
          </x14:cfRule>
          <x14:cfRule type="expression" priority="8272" stopIfTrue="1" id="{4B30CD56-785B-4943-AF6D-C048D5D8FA9B}">
            <xm:f>AND(IF(Q181&lt;'F:\Users\norela.briceno\Documents\Plan de acción\Plan Accion 2018\[Plan Accion Integrado ADRES Vigencia 2018 con Cuadro de Mando V6..xlsx]Plan de Accion 2018'!#REF!,Q181&lt;&gt;"N/A"))</xm:f>
            <x14:dxf>
              <fill>
                <patternFill>
                  <bgColor indexed="10"/>
                </patternFill>
              </fill>
            </x14:dxf>
          </x14:cfRule>
          <xm:sqref>Q181</xm:sqref>
        </x14:conditionalFormatting>
        <x14:conditionalFormatting xmlns:xm="http://schemas.microsoft.com/office/excel/2006/main">
          <x14:cfRule type="expression" priority="8267" id="{11F07019-2326-42F3-A6E3-E6838BFF6057}">
            <xm:f>AND(IF(Q179&gt;'F:\Users\norela.briceno\Documents\Plan de acción\Plan Accion 2018\[Plan Accion Integrado ADRES Vigencia 2018 con Cuadro de Mando V6..xlsx]Plan de Accion 2018'!#REF!,Q179&lt;&gt;¨N/A¨))</xm:f>
            <x14:dxf>
              <fill>
                <patternFill>
                  <bgColor theme="1" tint="0.499984740745262"/>
                </patternFill>
              </fill>
            </x14:dxf>
          </x14:cfRule>
          <x14:cfRule type="expression" priority="8268" stopIfTrue="1" id="{15D9BABF-3B82-4EB8-8DDF-0851F1DE6DDE}">
            <xm:f>AND(IF(Q179='F:\Users\norela.briceno\Documents\Plan de acción\Plan Accion 2018\[Plan Accion Integrado ADRES Vigencia 2018 con Cuadro de Mando V6..xlsx]Plan de Accion 2018'!#REF!,Q179&lt;&gt;"N/A"))</xm:f>
            <x14:dxf>
              <fill>
                <patternFill>
                  <bgColor rgb="FF00B050"/>
                </patternFill>
              </fill>
            </x14:dxf>
          </x14:cfRule>
          <x14:cfRule type="expression" priority="8269" stopIfTrue="1" id="{DE49AFF2-0C60-4EC5-8264-8A13CC5B4299}">
            <xm:f>AND(IF(Q179&lt;'F:\Users\norela.briceno\Documents\Plan de acción\Plan Accion 2018\[Plan Accion Integrado ADRES Vigencia 2018 con Cuadro de Mando V6..xlsx]Plan de Accion 2018'!#REF!,Q179&lt;&gt;"N/A"))</xm:f>
            <x14:dxf>
              <fill>
                <patternFill>
                  <bgColor indexed="10"/>
                </patternFill>
              </fill>
            </x14:dxf>
          </x14:cfRule>
          <xm:sqref>Q179</xm:sqref>
        </x14:conditionalFormatting>
        <x14:conditionalFormatting xmlns:xm="http://schemas.microsoft.com/office/excel/2006/main">
          <x14:cfRule type="expression" priority="8264" id="{CB63F433-02DA-4828-B6F4-464C80FF51E2}">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8265" stopIfTrue="1" id="{23AB3885-1D96-4289-A1ED-D8615CA95782}">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8266" stopIfTrue="1" id="{00B2EC85-48D2-44F6-8AF7-3D52255A7178}">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8261" id="{B3A81C85-FBD2-4586-AE69-30454CCD466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8262" stopIfTrue="1" id="{C7CCD068-22E8-4C0D-9E6C-CDFC2F9B2D33}">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8263" stopIfTrue="1" id="{468E0691-181D-44D6-B9EE-A25353D03BEE}">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8258" id="{982504A8-01CF-456C-B8CF-AC3D62CF9E39}">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8259" stopIfTrue="1" id="{7F2FA988-C79D-4BE1-9FF2-402314D5BADB}">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8260" stopIfTrue="1" id="{9D4BF500-B92A-4AC9-B540-BC140AAC2A05}">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8255" id="{B33BD48C-0443-4D38-8355-86CF0334082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8256" stopIfTrue="1" id="{11566A7B-763A-4993-8E8B-5B98B0A3B100}">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8257" stopIfTrue="1" id="{74904D8B-F6E2-4388-86C0-4CA4F00D3B49}">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8246" id="{906EC8D9-B700-4123-9D72-A7B0EBA4BBC7}">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8247" stopIfTrue="1" id="{7A79F7B2-54B3-489E-8DC8-E9168BFE57F4}">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8248" stopIfTrue="1" id="{7006CB2B-25AB-48EF-8799-76DB88F7FE2A}">
            <xm:f>AND(IF(Q161&lt;'F:\Users\norela.briceno\Documents\Plan de acción\Plan Accion 2018\[Plan Accion Integrado ADRES Vigencia 2018 con Cuadro de Mando V6..xlsx]Plan de Accion 2018'!#REF!,Q161&lt;&gt;"N/A"))</xm:f>
            <x14:dxf>
              <fill>
                <patternFill>
                  <bgColor indexed="10"/>
                </patternFill>
              </fill>
            </x14:dxf>
          </x14:cfRule>
          <xm:sqref>Q161</xm:sqref>
        </x14:conditionalFormatting>
        <x14:conditionalFormatting xmlns:xm="http://schemas.microsoft.com/office/excel/2006/main">
          <x14:cfRule type="expression" priority="8243" id="{8E75BA5C-B6F2-45D1-8593-9061AE13C01D}">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8244" stopIfTrue="1" id="{32B873C1-2575-4D02-A96B-FF06110FE6B3}">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8245" stopIfTrue="1" id="{45C28300-D077-47D8-B5B3-F5CDB4B97B4F}">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8240" id="{5D53C65C-35E6-469E-B07F-44E389E5AE8D}">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8241" stopIfTrue="1" id="{DCE5C37D-9FAD-4A2F-88BA-130DA7AC79F0}">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8242" stopIfTrue="1" id="{747EBA89-3ADD-4F3D-BEAE-48BE2C528242}">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8237" id="{9E12B6D3-E057-4DE6-98E2-40E7221CE116}">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8238" stopIfTrue="1" id="{0A9508D5-CE97-4347-9CAD-3FA45DB0E2B7}">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8239" stopIfTrue="1" id="{272F6517-DEBA-4ECF-83A4-C2D67A3DA04D}">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8234" id="{E2ABB2D0-00CE-49D4-ABA9-E7BBD68FAFEA}">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8235" stopIfTrue="1" id="{07281D15-6936-4528-AC4E-DFAC2779A483}">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8236" stopIfTrue="1" id="{CFA84F9A-CFC7-43E7-9D9B-9575B466838D}">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8231" id="{C1FF985D-AE1E-4F3B-986C-26F934C235A5}">
            <xm:f>AND(IF(Q139&gt;'F:\Users\norela.briceno\Documents\Plan de acción\Plan Accion 2018\[Plan Accion Integrado ADRES Vigencia 2018 con Cuadro de Mando V6..xlsx]Plan de Accion 2018'!#REF!,Q139&lt;&gt;¨N/A¨))</xm:f>
            <x14:dxf>
              <fill>
                <patternFill>
                  <bgColor theme="1" tint="0.499984740745262"/>
                </patternFill>
              </fill>
            </x14:dxf>
          </x14:cfRule>
          <x14:cfRule type="expression" priority="8232" stopIfTrue="1" id="{89BE4A11-2910-40F6-A4A8-76D745AC2F9A}">
            <xm:f>AND(IF(Q139='F:\Users\norela.briceno\Documents\Plan de acción\Plan Accion 2018\[Plan Accion Integrado ADRES Vigencia 2018 con Cuadro de Mando V6..xlsx]Plan de Accion 2018'!#REF!,Q139&lt;&gt;"N/A"))</xm:f>
            <x14:dxf>
              <fill>
                <patternFill>
                  <bgColor rgb="FF00B050"/>
                </patternFill>
              </fill>
            </x14:dxf>
          </x14:cfRule>
          <x14:cfRule type="expression" priority="8233" stopIfTrue="1" id="{9BA8A959-9244-44C0-AAA7-0CABD8CE2F0B}">
            <xm:f>AND(IF(Q139&lt;'F:\Users\norela.briceno\Documents\Plan de acción\Plan Accion 2018\[Plan Accion Integrado ADRES Vigencia 2018 con Cuadro de Mando V6..xlsx]Plan de Accion 2018'!#REF!,Q139&lt;&gt;"N/A"))</xm:f>
            <x14:dxf>
              <fill>
                <patternFill>
                  <bgColor indexed="10"/>
                </patternFill>
              </fill>
            </x14:dxf>
          </x14:cfRule>
          <xm:sqref>Q139</xm:sqref>
        </x14:conditionalFormatting>
        <x14:conditionalFormatting xmlns:xm="http://schemas.microsoft.com/office/excel/2006/main">
          <x14:cfRule type="expression" priority="8228" id="{B35A0830-688D-4377-B838-41EFD605241B}">
            <xm:f>AND(IF(X139&gt;'F:\Users\norela.briceno\Documents\Plan de acción\Plan Accion 2018\[Plan Accion Integrado ADRES Vigencia 2018 con Cuadro de Mando V6..xlsx]Plan de Accion 2018'!#REF!,X139&lt;&gt;¨N/A¨))</xm:f>
            <x14:dxf>
              <fill>
                <patternFill>
                  <bgColor theme="1" tint="0.499984740745262"/>
                </patternFill>
              </fill>
            </x14:dxf>
          </x14:cfRule>
          <x14:cfRule type="expression" priority="8229" stopIfTrue="1" id="{2614E127-7276-443C-8993-7148656AE189}">
            <xm:f>AND(IF(X139='F:\Users\norela.briceno\Documents\Plan de acción\Plan Accion 2018\[Plan Accion Integrado ADRES Vigencia 2018 con Cuadro de Mando V6..xlsx]Plan de Accion 2018'!#REF!,X139&lt;&gt;"N/A"))</xm:f>
            <x14:dxf>
              <fill>
                <patternFill>
                  <bgColor rgb="FF00B050"/>
                </patternFill>
              </fill>
            </x14:dxf>
          </x14:cfRule>
          <x14:cfRule type="expression" priority="8230" stopIfTrue="1" id="{071080E1-97B6-4A66-B4F4-E42272847D39}">
            <xm:f>AND(IF(X139&lt;'F:\Users\norela.briceno\Documents\Plan de acción\Plan Accion 2018\[Plan Accion Integrado ADRES Vigencia 2018 con Cuadro de Mando V6..xlsx]Plan de Accion 2018'!#REF!,X139&lt;&gt;"N/A"))</xm:f>
            <x14:dxf>
              <fill>
                <patternFill>
                  <bgColor indexed="10"/>
                </patternFill>
              </fill>
            </x14:dxf>
          </x14:cfRule>
          <xm:sqref>X139</xm:sqref>
        </x14:conditionalFormatting>
        <x14:conditionalFormatting xmlns:xm="http://schemas.microsoft.com/office/excel/2006/main">
          <x14:cfRule type="expression" priority="8225" id="{2AC0D151-E594-42D7-A5BE-713FBCFC56B3}">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8226" stopIfTrue="1" id="{F9EF7432-A58C-4373-816B-2A9EAC4E6897}">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8227" stopIfTrue="1" id="{28CA51B3-6CB5-491B-8FC9-1C7718412343}">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8222" id="{C4FB8A54-F605-405D-A66F-2C478D12BF95}">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8223" stopIfTrue="1" id="{54D43E3C-B2F4-4A20-BF30-2B37700348FA}">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8224" stopIfTrue="1" id="{3DCFFFD2-CDB8-4EB8-941C-C84ECC7913A6}">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8219" id="{3DFF2A10-194A-47D6-BC7E-32332BE1D0C4}">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8220" stopIfTrue="1" id="{3E3C1E9C-656F-4229-8C52-D6FDD1EC9215}">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8221" stopIfTrue="1" id="{3CEA6E41-FAB5-434E-B900-E90F0434541E}">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8216" id="{5B188A36-F327-439A-AA81-123462043AD5}">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8217" stopIfTrue="1" id="{472B1FC2-BAE2-485B-AB2D-8086B06B44B5}">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8218" stopIfTrue="1" id="{47E85128-928B-4250-BA63-0DDFFF027412}">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8213" id="{ED96B563-26B2-400F-8615-8C24D1233733}">
            <xm:f>AND(IF(X161&gt;'F:\Users\norela.briceno\Documents\Plan de acción\Plan Accion 2018\[Plan Accion Integrado ADRES Vigencia 2018 con Cuadro de Mando V6..xlsx]Plan de Accion 2018'!#REF!,X161&lt;&gt;¨N/A¨))</xm:f>
            <x14:dxf>
              <fill>
                <patternFill>
                  <bgColor theme="1" tint="0.499984740745262"/>
                </patternFill>
              </fill>
            </x14:dxf>
          </x14:cfRule>
          <x14:cfRule type="expression" priority="8214" stopIfTrue="1" id="{43D7EAC2-776E-4AEB-B4E5-EC6FD5B02173}">
            <xm:f>AND(IF(X161='F:\Users\norela.briceno\Documents\Plan de acción\Plan Accion 2018\[Plan Accion Integrado ADRES Vigencia 2018 con Cuadro de Mando V6..xlsx]Plan de Accion 2018'!#REF!,X161&lt;&gt;"N/A"))</xm:f>
            <x14:dxf>
              <fill>
                <patternFill>
                  <bgColor rgb="FF00B050"/>
                </patternFill>
              </fill>
            </x14:dxf>
          </x14:cfRule>
          <x14:cfRule type="expression" priority="8215" stopIfTrue="1" id="{C6174C49-D57F-4844-80DD-3E9B736563EC}">
            <xm:f>AND(IF(X161&lt;'F:\Users\norela.briceno\Documents\Plan de acción\Plan Accion 2018\[Plan Accion Integrado ADRES Vigencia 2018 con Cuadro de Mando V6..xlsx]Plan de Accion 2018'!#REF!,X161&lt;&gt;"N/A"))</xm:f>
            <x14:dxf>
              <fill>
                <patternFill>
                  <bgColor indexed="10"/>
                </patternFill>
              </fill>
            </x14:dxf>
          </x14:cfRule>
          <xm:sqref>X161</xm:sqref>
        </x14:conditionalFormatting>
        <x14:conditionalFormatting xmlns:xm="http://schemas.microsoft.com/office/excel/2006/main">
          <x14:cfRule type="expression" priority="8204" id="{D2C1AF81-AFC9-4E3F-BA00-912909124BBD}">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8205" stopIfTrue="1" id="{8620BABF-60E3-4A11-9303-C560D0C4FF13}">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8206" stopIfTrue="1" id="{BB1BDFF3-1540-46DB-ACCF-CC60EA24E30D}">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8201" id="{C4FB4640-8DC5-4581-B744-358D2A8B1980}">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8202" stopIfTrue="1" id="{3620D59F-6592-43F7-A892-C65E8CD5657E}">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8203" stopIfTrue="1" id="{38610430-B864-4D71-A54B-84BDCCAA198E}">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8198" id="{8EB3506D-65E9-4D87-9A0B-7BC6B89391C6}">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8199" stopIfTrue="1" id="{8324613C-C40B-41EE-8880-0764E6503764}">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8200" stopIfTrue="1" id="{47F4966A-FD47-4EBD-AE49-A8D3262997DB}">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8195" id="{FB9FCEFD-FE56-4379-9C09-376FC91A93B2}">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8196" stopIfTrue="1" id="{B55F8DB0-81A6-4EC8-8999-F1A6A7294254}">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8197" stopIfTrue="1" id="{64E65B3D-FDC2-44BC-BD23-0C95A4FF095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8192" id="{12588BA5-2E6B-4005-8369-85C4AD2675F1}">
            <xm:f>AND(IF(X179&gt;'F:\Users\norela.briceno\Documents\Plan de acción\Plan Accion 2018\[Plan Accion Integrado ADRES Vigencia 2018 con Cuadro de Mando V6..xlsx]Plan de Accion 2018'!#REF!,X179&lt;&gt;¨N/A¨))</xm:f>
            <x14:dxf>
              <fill>
                <patternFill>
                  <bgColor theme="1" tint="0.499984740745262"/>
                </patternFill>
              </fill>
            </x14:dxf>
          </x14:cfRule>
          <x14:cfRule type="expression" priority="8193" stopIfTrue="1" id="{ACF194C3-F833-4F70-B98B-528DC7365B7A}">
            <xm:f>AND(IF(X179='F:\Users\norela.briceno\Documents\Plan de acción\Plan Accion 2018\[Plan Accion Integrado ADRES Vigencia 2018 con Cuadro de Mando V6..xlsx]Plan de Accion 2018'!#REF!,X179&lt;&gt;"N/A"))</xm:f>
            <x14:dxf>
              <fill>
                <patternFill>
                  <bgColor rgb="FF00B050"/>
                </patternFill>
              </fill>
            </x14:dxf>
          </x14:cfRule>
          <x14:cfRule type="expression" priority="8194" stopIfTrue="1" id="{4E9B1DA1-F446-4324-8CD4-06A57689BA7F}">
            <xm:f>AND(IF(X179&lt;'F:\Users\norela.briceno\Documents\Plan de acción\Plan Accion 2018\[Plan Accion Integrado ADRES Vigencia 2018 con Cuadro de Mando V6..xlsx]Plan de Accion 2018'!#REF!,X179&lt;&gt;"N/A"))</xm:f>
            <x14:dxf>
              <fill>
                <patternFill>
                  <bgColor indexed="10"/>
                </patternFill>
              </fill>
            </x14:dxf>
          </x14:cfRule>
          <xm:sqref>X179</xm:sqref>
        </x14:conditionalFormatting>
        <x14:conditionalFormatting xmlns:xm="http://schemas.microsoft.com/office/excel/2006/main">
          <x14:cfRule type="expression" priority="8189" id="{6D58C1F3-EFA1-4AEC-9A6C-D58CCCB2E8DB}">
            <xm:f>AND(IF(X181&gt;'F:\Users\norela.briceno\Documents\Plan de acción\Plan Accion 2018\[Plan Accion Integrado ADRES Vigencia 2018 con Cuadro de Mando V6..xlsx]Plan de Accion 2018'!#REF!,X181&lt;&gt;¨N/A¨))</xm:f>
            <x14:dxf>
              <fill>
                <patternFill>
                  <bgColor theme="1" tint="0.499984740745262"/>
                </patternFill>
              </fill>
            </x14:dxf>
          </x14:cfRule>
          <x14:cfRule type="expression" priority="8190" stopIfTrue="1" id="{2B3A43C7-CF9B-4A03-87F6-BD1BFAB90F5A}">
            <xm:f>AND(IF(X181='F:\Users\norela.briceno\Documents\Plan de acción\Plan Accion 2018\[Plan Accion Integrado ADRES Vigencia 2018 con Cuadro de Mando V6..xlsx]Plan de Accion 2018'!#REF!,X181&lt;&gt;"N/A"))</xm:f>
            <x14:dxf>
              <fill>
                <patternFill>
                  <bgColor rgb="FF00B050"/>
                </patternFill>
              </fill>
            </x14:dxf>
          </x14:cfRule>
          <x14:cfRule type="expression" priority="8191" stopIfTrue="1" id="{824EA8EA-4238-4034-B7F7-2E2E3E741B5D}">
            <xm:f>AND(IF(X181&lt;'F:\Users\norela.briceno\Documents\Plan de acción\Plan Accion 2018\[Plan Accion Integrado ADRES Vigencia 2018 con Cuadro de Mando V6..xlsx]Plan de Accion 2018'!#REF!,X181&lt;&gt;"N/A"))</xm:f>
            <x14:dxf>
              <fill>
                <patternFill>
                  <bgColor indexed="10"/>
                </patternFill>
              </fill>
            </x14:dxf>
          </x14:cfRule>
          <xm:sqref>X181</xm:sqref>
        </x14:conditionalFormatting>
        <x14:conditionalFormatting xmlns:xm="http://schemas.microsoft.com/office/excel/2006/main">
          <x14:cfRule type="expression" priority="8186" id="{B028A017-8D78-4EFB-905E-69FC1B7CC28F}">
            <xm:f>AND(IF(X182&gt;'F:\Users\norela.briceno\Documents\Plan de acción\Plan Accion 2018\[Plan Accion Integrado ADRES Vigencia 2018 con Cuadro de Mando V6..xlsx]Plan de Accion 2018'!#REF!,X182&lt;&gt;¨N/A¨))</xm:f>
            <x14:dxf>
              <fill>
                <patternFill>
                  <bgColor theme="1" tint="0.499984740745262"/>
                </patternFill>
              </fill>
            </x14:dxf>
          </x14:cfRule>
          <x14:cfRule type="expression" priority="8187" stopIfTrue="1" id="{5D4B47A3-615A-4904-8D23-21D6235B18A8}">
            <xm:f>AND(IF(X182='F:\Users\norela.briceno\Documents\Plan de acción\Plan Accion 2018\[Plan Accion Integrado ADRES Vigencia 2018 con Cuadro de Mando V6..xlsx]Plan de Accion 2018'!#REF!,X182&lt;&gt;"N/A"))</xm:f>
            <x14:dxf>
              <fill>
                <patternFill>
                  <bgColor rgb="FF00B050"/>
                </patternFill>
              </fill>
            </x14:dxf>
          </x14:cfRule>
          <x14:cfRule type="expression" priority="8188" stopIfTrue="1" id="{9B9F23E9-D993-49EB-BC64-1F6C1E470A43}">
            <xm:f>AND(IF(X182&lt;'F:\Users\norela.briceno\Documents\Plan de acción\Plan Accion 2018\[Plan Accion Integrado ADRES Vigencia 2018 con Cuadro de Mando V6..xlsx]Plan de Accion 2018'!#REF!,X182&lt;&gt;"N/A"))</xm:f>
            <x14:dxf>
              <fill>
                <patternFill>
                  <bgColor indexed="10"/>
                </patternFill>
              </fill>
            </x14:dxf>
          </x14:cfRule>
          <xm:sqref>X182</xm:sqref>
        </x14:conditionalFormatting>
        <x14:conditionalFormatting xmlns:xm="http://schemas.microsoft.com/office/excel/2006/main">
          <x14:cfRule type="expression" priority="8183" id="{CA8F04EB-87D4-4412-BB30-43967020D518}">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8184" stopIfTrue="1" id="{81C62F97-6550-417B-B726-CE8A6B1E32C0}">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8185" stopIfTrue="1" id="{6F20158D-9EA0-4B58-B4AF-2CD08BC9D7C3}">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8180" id="{46F7489E-1510-434C-80B1-C0C025396FB5}">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8181" stopIfTrue="1" id="{2C1E23EE-E433-48E7-AF05-2F954974449F}">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8182" stopIfTrue="1" id="{FACD2FD4-4957-4A1F-B4AC-7022D73B6ECE}">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8177" id="{223962AB-D8ED-4BF5-8974-67FA3ACABF4F}">
            <xm:f>AND(IF(X192&gt;'F:\Users\norela.briceno\Documents\Plan de acción\Plan Accion 2018\[Plan Accion Integrado ADRES Vigencia 2018 con Cuadro de Mando V6..xlsx]Plan de Accion 2018'!#REF!,X192&lt;&gt;¨N/A¨))</xm:f>
            <x14:dxf>
              <fill>
                <patternFill>
                  <bgColor theme="1" tint="0.499984740745262"/>
                </patternFill>
              </fill>
            </x14:dxf>
          </x14:cfRule>
          <x14:cfRule type="expression" priority="8178" stopIfTrue="1" id="{8964B75C-09DB-4C16-937C-15E5024BF0FF}">
            <xm:f>AND(IF(X192='F:\Users\norela.briceno\Documents\Plan de acción\Plan Accion 2018\[Plan Accion Integrado ADRES Vigencia 2018 con Cuadro de Mando V6..xlsx]Plan de Accion 2018'!#REF!,X192&lt;&gt;"N/A"))</xm:f>
            <x14:dxf>
              <fill>
                <patternFill>
                  <bgColor rgb="FF00B050"/>
                </patternFill>
              </fill>
            </x14:dxf>
          </x14:cfRule>
          <x14:cfRule type="expression" priority="8179" stopIfTrue="1" id="{34FCE4B8-27F0-4600-9CB2-5AE7BB68EFED}">
            <xm:f>AND(IF(X192&lt;'F:\Users\norela.briceno\Documents\Plan de acción\Plan Accion 2018\[Plan Accion Integrado ADRES Vigencia 2018 con Cuadro de Mando V6..xlsx]Plan de Accion 2018'!#REF!,X192&lt;&gt;"N/A"))</xm:f>
            <x14:dxf>
              <fill>
                <patternFill>
                  <bgColor indexed="10"/>
                </patternFill>
              </fill>
            </x14:dxf>
          </x14:cfRule>
          <xm:sqref>X192</xm:sqref>
        </x14:conditionalFormatting>
        <x14:conditionalFormatting xmlns:xm="http://schemas.microsoft.com/office/excel/2006/main">
          <x14:cfRule type="expression" priority="8174" id="{2367B4CC-23BE-4972-BF85-1B64EEAE8B8C}">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8175" stopIfTrue="1" id="{95075E1C-89D4-49FE-BBEE-E536AA5CA539}">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8176" stopIfTrue="1" id="{F6FB11DD-1046-4EC7-A9AC-F367F7B9655B}">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8171" id="{87FC780F-700F-48CE-A71D-D325726F8B05}">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8172" stopIfTrue="1" id="{CC711FFD-490B-4ADB-8926-CE7CE4EE37C1}">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8173" stopIfTrue="1" id="{B6F5C917-AD3E-4B96-B43A-2F5833E21C56}">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8168" id="{D852B78F-9873-407F-B905-B6CC6BE5DB3D}">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8169" stopIfTrue="1" id="{4389C701-69B5-4C7D-B8AA-8911772A1512}">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8170" stopIfTrue="1" id="{7E1FF302-1EE9-42A5-B519-5BC242466CD2}">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8165" id="{8BFC0150-7893-4601-95DD-B93148542EA2}">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8166" stopIfTrue="1" id="{18EB7193-54D5-4CB4-A587-A0F74EC8756B}">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8167" stopIfTrue="1" id="{A9F8555F-934B-4F86-8BAB-4862945C4701}">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8162" id="{D029A8D1-D9AC-4FF8-BB71-5DF73C47A1F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8163" stopIfTrue="1" id="{0FE63742-043B-494A-9F1F-B10D070A77F4}">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8164" stopIfTrue="1" id="{2AFDBCDF-3792-453A-B4DC-F4B74A61BE47}">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8159" id="{972BBD41-5E47-46A2-AAAA-ECC87CEC03ED}">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8160" stopIfTrue="1" id="{CD8B380C-FAE0-4343-A68F-D3D961B3AF28}">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8161" stopIfTrue="1" id="{75FC5A92-2955-4D22-A2E1-8D567586DF36}">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8156" id="{100E933B-4B86-4062-A537-1DC7EF36882D}">
            <xm:f>AND(IF(X203&gt;'F:\Users\norela.briceno\Documents\Plan de acción\Plan Accion 2018\[Plan Accion Integrado ADRES Vigencia 2018 con Cuadro de Mando V6..xlsx]Plan de Accion 2018'!#REF!,X203&lt;&gt;¨N/A¨))</xm:f>
            <x14:dxf>
              <fill>
                <patternFill>
                  <bgColor theme="1" tint="0.499984740745262"/>
                </patternFill>
              </fill>
            </x14:dxf>
          </x14:cfRule>
          <x14:cfRule type="expression" priority="8157" stopIfTrue="1" id="{8C2DDB7E-323D-42F3-B924-F5AA0203FC92}">
            <xm:f>AND(IF(X203='F:\Users\norela.briceno\Documents\Plan de acción\Plan Accion 2018\[Plan Accion Integrado ADRES Vigencia 2018 con Cuadro de Mando V6..xlsx]Plan de Accion 2018'!#REF!,X203&lt;&gt;"N/A"))</xm:f>
            <x14:dxf>
              <fill>
                <patternFill>
                  <bgColor rgb="FF00B050"/>
                </patternFill>
              </fill>
            </x14:dxf>
          </x14:cfRule>
          <x14:cfRule type="expression" priority="8158" stopIfTrue="1" id="{9563366B-FF5B-496C-B281-B8E7DB3C5EB8}">
            <xm:f>AND(IF(X203&lt;'F:\Users\norela.briceno\Documents\Plan de acción\Plan Accion 2018\[Plan Accion Integrado ADRES Vigencia 2018 con Cuadro de Mando V6..xlsx]Plan de Accion 2018'!#REF!,X203&lt;&gt;"N/A"))</xm:f>
            <x14:dxf>
              <fill>
                <patternFill>
                  <bgColor indexed="10"/>
                </patternFill>
              </fill>
            </x14:dxf>
          </x14:cfRule>
          <xm:sqref>X203</xm:sqref>
        </x14:conditionalFormatting>
        <x14:conditionalFormatting xmlns:xm="http://schemas.microsoft.com/office/excel/2006/main">
          <x14:cfRule type="expression" priority="8153" id="{04D3139F-CBE6-4E45-B486-B73BF6C3F4CC}">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8154" stopIfTrue="1" id="{812474D2-1472-4BEE-B367-6FE6D733B4A6}">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8155" stopIfTrue="1" id="{7C5FBC28-AB06-42D9-8935-B8FA879739A5}">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8150" id="{B5918568-9205-4994-AD2C-A0B09EC9EB7A}">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8151" stopIfTrue="1" id="{68182953-D66D-4DBD-812D-7C28BCFDF4CB}">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8152" stopIfTrue="1" id="{B3CA9E63-D8DF-4742-8C08-A848FE012EAE}">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8147" id="{3319807E-61FA-4418-B5D0-4BF58EEB2B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8148" stopIfTrue="1" id="{7FD69541-1C6B-4A58-969D-37778DC085DD}">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8149" stopIfTrue="1" id="{71C006F8-ED10-4276-B351-0E507093096D}">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8144" id="{05D9CC40-30E2-4C24-BF40-340ED070A2F5}">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8145" stopIfTrue="1" id="{17DB30C9-8CEF-4F85-B33C-1402B30C5C83}">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8146" stopIfTrue="1" id="{B56D6F9C-8A23-4921-921C-9954FA2C99B8}">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8141" id="{ECF40CF3-9B7B-4ED9-8863-A432129D1ACC}">
            <xm:f>AND(IF(X214&gt;'F:\Users\norela.briceno\Documents\Plan de acción\Plan Accion 2018\[Plan Accion Integrado ADRES Vigencia 2018 con Cuadro de Mando V6..xlsx]Plan de Accion 2018'!#REF!,X214&lt;&gt;¨N/A¨))</xm:f>
            <x14:dxf>
              <fill>
                <patternFill>
                  <bgColor theme="1" tint="0.499984740745262"/>
                </patternFill>
              </fill>
            </x14:dxf>
          </x14:cfRule>
          <x14:cfRule type="expression" priority="8142" stopIfTrue="1" id="{2E5DF0D0-EF86-4B1B-A18B-01F6CC19C218}">
            <xm:f>AND(IF(X214='F:\Users\norela.briceno\Documents\Plan de acción\Plan Accion 2018\[Plan Accion Integrado ADRES Vigencia 2018 con Cuadro de Mando V6..xlsx]Plan de Accion 2018'!#REF!,X214&lt;&gt;"N/A"))</xm:f>
            <x14:dxf>
              <fill>
                <patternFill>
                  <bgColor rgb="FF00B050"/>
                </patternFill>
              </fill>
            </x14:dxf>
          </x14:cfRule>
          <x14:cfRule type="expression" priority="8143" stopIfTrue="1" id="{AFB71002-ECDB-477A-8275-B76E30455CE0}">
            <xm:f>AND(IF(X214&lt;'F:\Users\norela.briceno\Documents\Plan de acción\Plan Accion 2018\[Plan Accion Integrado ADRES Vigencia 2018 con Cuadro de Mando V6..xlsx]Plan de Accion 2018'!#REF!,X214&lt;&gt;"N/A"))</xm:f>
            <x14:dxf>
              <fill>
                <patternFill>
                  <bgColor indexed="10"/>
                </patternFill>
              </fill>
            </x14:dxf>
          </x14:cfRule>
          <xm:sqref>X214</xm:sqref>
        </x14:conditionalFormatting>
        <x14:conditionalFormatting xmlns:xm="http://schemas.microsoft.com/office/excel/2006/main">
          <x14:cfRule type="expression" priority="8138" id="{6FC9E34E-851B-41FF-A1B5-48893777B3BA}">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8139" stopIfTrue="1" id="{3A68538D-9394-4679-A9DC-396F0C5826C9}">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8140" stopIfTrue="1" id="{1651849B-06F9-47BC-A6EB-AFC213AA6EB5}">
            <xm:f>AND(IF(X215&lt;'F:\Users\norela.briceno\Documents\Plan de acción\Plan Accion 2018\[Plan Accion Integrado ADRES Vigencia 2018 con Cuadro de Mando V6..xlsx]Plan de Accion 2018'!#REF!,X215&lt;&gt;"N/A"))</xm:f>
            <x14:dxf>
              <fill>
                <patternFill>
                  <bgColor indexed="10"/>
                </patternFill>
              </fill>
            </x14:dxf>
          </x14:cfRule>
          <xm:sqref>X215</xm:sqref>
        </x14:conditionalFormatting>
        <x14:conditionalFormatting xmlns:xm="http://schemas.microsoft.com/office/excel/2006/main">
          <x14:cfRule type="expression" priority="8135" id="{D8816492-2D6A-4ED4-B63F-44723723A38C}">
            <xm:f>AND(IF(X216&gt;'F:\Users\norela.briceno\Documents\Plan de acción\Plan Accion 2018\[Plan Accion Integrado ADRES Vigencia 2018 con Cuadro de Mando V6..xlsx]Plan de Accion 2018'!#REF!,X216&lt;&gt;¨N/A¨))</xm:f>
            <x14:dxf>
              <fill>
                <patternFill>
                  <bgColor theme="1" tint="0.499984740745262"/>
                </patternFill>
              </fill>
            </x14:dxf>
          </x14:cfRule>
          <x14:cfRule type="expression" priority="8136" stopIfTrue="1" id="{86760853-FB6F-4A75-956C-369415622E2C}">
            <xm:f>AND(IF(X216='F:\Users\norela.briceno\Documents\Plan de acción\Plan Accion 2018\[Plan Accion Integrado ADRES Vigencia 2018 con Cuadro de Mando V6..xlsx]Plan de Accion 2018'!#REF!,X216&lt;&gt;"N/A"))</xm:f>
            <x14:dxf>
              <fill>
                <patternFill>
                  <bgColor rgb="FF00B050"/>
                </patternFill>
              </fill>
            </x14:dxf>
          </x14:cfRule>
          <x14:cfRule type="expression" priority="8137" stopIfTrue="1" id="{E3C0BF48-AD4E-4F54-978A-15674D55CF8A}">
            <xm:f>AND(IF(X216&lt;'F:\Users\norela.briceno\Documents\Plan de acción\Plan Accion 2018\[Plan Accion Integrado ADRES Vigencia 2018 con Cuadro de Mando V6..xlsx]Plan de Accion 2018'!#REF!,X216&lt;&gt;"N/A"))</xm:f>
            <x14:dxf>
              <fill>
                <patternFill>
                  <bgColor indexed="10"/>
                </patternFill>
              </fill>
            </x14:dxf>
          </x14:cfRule>
          <xm:sqref>X216</xm:sqref>
        </x14:conditionalFormatting>
        <x14:conditionalFormatting xmlns:xm="http://schemas.microsoft.com/office/excel/2006/main">
          <x14:cfRule type="expression" priority="8132" id="{91ED1D2C-A6D2-4956-88E1-61AC08B28FFD}">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8133" stopIfTrue="1" id="{E3E4D189-091A-46FC-92DD-D60264AA7CD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8134" stopIfTrue="1" id="{9F69EE73-B215-4A40-BE89-05433DDE7FE4}">
            <xm:f>AND(IF(X217&lt;'F:\Users\norela.briceno\Documents\Plan de acción\Plan Accion 2018\[Plan Accion Integrado ADRES Vigencia 2018 con Cuadro de Mando V6..xlsx]Plan de Accion 2018'!#REF!,X217&lt;&gt;"N/A"))</xm:f>
            <x14:dxf>
              <fill>
                <patternFill>
                  <bgColor indexed="10"/>
                </patternFill>
              </fill>
            </x14:dxf>
          </x14:cfRule>
          <xm:sqref>X217</xm:sqref>
        </x14:conditionalFormatting>
        <x14:conditionalFormatting xmlns:xm="http://schemas.microsoft.com/office/excel/2006/main">
          <x14:cfRule type="expression" priority="8129" id="{7162D03A-FD6F-4FF4-878F-AC4DE0828F81}">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8130" stopIfTrue="1" id="{A68A8F21-0BD5-4DAF-980D-1CBAF7A11891}">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8131" stopIfTrue="1" id="{82B41E2F-44F8-41EB-BC52-DDF65FCA4C30}">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8126" id="{44217AA0-6B6A-484F-91DC-B60C84A610F9}">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8127" stopIfTrue="1" id="{11965BCD-3451-4322-A6FD-1DAC8E094166}">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8128" stopIfTrue="1" id="{8740CBD0-421A-43D2-81E0-89991AE22718}">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8120" id="{E1F81414-26A1-4897-90A7-AD7BCBDC014A}">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8121" stopIfTrue="1" id="{3D3A6AE1-11F4-4427-A715-E4C8D4B21296}">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8122" stopIfTrue="1" id="{DA910E49-48C2-4733-B566-63C3AB682DD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8117" id="{571C2AB2-69FC-467A-BBF7-79120C1A490C}">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8118" stopIfTrue="1" id="{C0CF9514-A341-4789-AFB9-1A2054108F12}">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8119" stopIfTrue="1" id="{B955995F-920F-4597-8FBC-658650DE83F1}">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8114" id="{1B2AD623-0AC3-4109-9FCA-1C67AC02D95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8115" stopIfTrue="1" id="{9514E247-098E-47E5-8C42-CAB2C09B8718}">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8116" stopIfTrue="1" id="{7DE8F108-B31D-4A94-B1AA-405E55843408}">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8111" id="{4A54DEFB-8172-43A5-A3F5-CBCE0CB1C478}">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8112" stopIfTrue="1" id="{BA6D88E1-EDCF-4289-8DC0-EA85BA73F923}">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8113" stopIfTrue="1" id="{8D254F6B-4BBF-49A9-BBCC-B985A1099D95}">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8108" id="{9C9ABAFF-E18E-435C-A6C2-D5E8CED80305}">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8109" stopIfTrue="1" id="{F2212B43-24EB-4ACD-96EC-E6FD1082C8EB}">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8110" stopIfTrue="1" id="{22556FD6-D67C-4F09-A53D-95F92A2FF428}">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8105" id="{72AB1E79-E562-453C-8932-B873EB255E1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8106" stopIfTrue="1" id="{AAAD96B5-80AF-4F36-85D0-E08FEFBB39BF}">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8107" stopIfTrue="1" id="{09333FA0-3B34-469A-819D-49D090F1B301}">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8102" id="{824A5B64-5EA9-43F1-8A70-011001757BC9}">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8103" stopIfTrue="1" id="{7CA5CCAD-2F82-4743-9F77-4D4DD2F89956}">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8104" stopIfTrue="1" id="{A0634DA7-DC90-4ADA-9D11-097E35E4EE93}">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8099" id="{28F28E94-CA31-4B53-93C5-1739CC99AB45}">
            <xm:f>AND(IF(X361&gt;'F:\Users\norela.briceno\Documents\Plan de acción\Plan Accion 2018\[Plan Accion Integrado ADRES Vigencia 2018 con Cuadro de Mando V6..xlsx]Plan de Accion 2018'!#REF!,X361&lt;&gt;¨N/A¨))</xm:f>
            <x14:dxf>
              <fill>
                <patternFill>
                  <bgColor theme="1" tint="0.499984740745262"/>
                </patternFill>
              </fill>
            </x14:dxf>
          </x14:cfRule>
          <x14:cfRule type="expression" priority="8100" stopIfTrue="1" id="{0A053A9B-4084-4D92-A72B-C4E8175134D6}">
            <xm:f>AND(IF(X361='F:\Users\norela.briceno\Documents\Plan de acción\Plan Accion 2018\[Plan Accion Integrado ADRES Vigencia 2018 con Cuadro de Mando V6..xlsx]Plan de Accion 2018'!#REF!,X361&lt;&gt;"N/A"))</xm:f>
            <x14:dxf>
              <fill>
                <patternFill>
                  <bgColor rgb="FF00B050"/>
                </patternFill>
              </fill>
            </x14:dxf>
          </x14:cfRule>
          <x14:cfRule type="expression" priority="8101" stopIfTrue="1" id="{3F2B70C0-9600-4E92-A42D-82FB319628F5}">
            <xm:f>AND(IF(X361&lt;'F:\Users\norela.briceno\Documents\Plan de acción\Plan Accion 2018\[Plan Accion Integrado ADRES Vigencia 2018 con Cuadro de Mando V6..xlsx]Plan de Accion 2018'!#REF!,X361&lt;&gt;"N/A"))</xm:f>
            <x14:dxf>
              <fill>
                <patternFill>
                  <bgColor indexed="10"/>
                </patternFill>
              </fill>
            </x14:dxf>
          </x14:cfRule>
          <xm:sqref>X361</xm:sqref>
        </x14:conditionalFormatting>
        <x14:conditionalFormatting xmlns:xm="http://schemas.microsoft.com/office/excel/2006/main">
          <x14:cfRule type="expression" priority="8096" id="{99ACA62B-7F1F-4FAA-9E17-6CA1A66B3CBE}">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8097" stopIfTrue="1" id="{204AD163-2C8D-479C-9FE2-C99402ED32CD}">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8098" stopIfTrue="1" id="{13426739-A6D0-47EF-B565-01D45D38E01C}">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8093" id="{FDB9D8EE-56AD-488A-990B-8548D16797BF}">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8094" stopIfTrue="1" id="{87041507-A287-45CA-83BA-66B900677CAD}">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8095" stopIfTrue="1" id="{44F884D0-91EF-492C-B436-9A36DEA03808}">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8090" id="{A35C4030-41A3-44D6-A649-E80FB0AB10C2}">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8091" stopIfTrue="1" id="{27EBDC64-E756-490B-B30C-9CA0C41CA442}">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8092" stopIfTrue="1" id="{3BF761AA-01A3-4230-AB04-E91F787A6DB1}">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8087" id="{02113761-3D49-4B61-A541-52FD70290624}">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8088" stopIfTrue="1" id="{EA973C81-8A97-4FE7-87B3-2752FF839355}">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8089" stopIfTrue="1" id="{461FF990-FA6F-4B67-98AE-00DB44866145}">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8084" id="{058E7A4B-780A-4638-ABD1-D4FFD0B77C24}">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8085" stopIfTrue="1" id="{93095577-FEA8-4797-8978-C20C5CAD2EE5}">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8086" stopIfTrue="1" id="{6EDDD59B-5795-49F7-A070-D569B61EA65D}">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8081" id="{62BED001-481F-4CF2-AD65-25A302BAB4AD}">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8082" stopIfTrue="1" id="{5F8B206F-F6E9-43DC-9100-59F9E271AB3A}">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8083" stopIfTrue="1" id="{7995B95C-C3F1-44E5-8D1A-CD5251F16C25}">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8078" id="{63C3B098-95B7-4A9A-B6A3-00B1370439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8079" stopIfTrue="1" id="{9114DD2E-811E-4F01-B4D5-51A7D3B75389}">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8080" stopIfTrue="1" id="{375521C1-0833-4CBA-AC7A-12AC392CA9C4}">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8075" id="{BD1DAB85-0132-47AA-B7BF-D804C3BF19D3}">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8076" stopIfTrue="1" id="{18A4A9C8-7BFE-494F-B82A-4908E148643A}">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8077" stopIfTrue="1" id="{950127B8-B9BF-4540-842A-5DA0185A17C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8072" id="{F9589E80-74A8-4843-989F-FB27BF9985E8}">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8073" stopIfTrue="1" id="{089874AC-9BEF-4BB2-9592-98EE952669BA}">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8074" stopIfTrue="1" id="{2E8D2CA6-A723-48BB-A181-5CFC9B2E12EF}">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8069" id="{2AC23CF8-3B80-4B47-9EA8-39080A21E1F1}">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8070" stopIfTrue="1" id="{08B3A822-B101-4262-B091-DB8EA45D4E0F}">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8071" stopIfTrue="1" id="{EEF09249-8B58-4D3F-9AF3-C79F8C87AA0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8066" id="{ACCB28A9-0487-411B-856C-48335FCEAD5A}">
            <xm:f>AND(IF(X265&gt;'F:\Users\norela.briceno\Documents\Plan de acción\Plan Accion 2018\[Plan Accion Integrado ADRES Vigencia 2018 con Cuadro de Mando V6..xlsx]Plan de Accion 2018'!#REF!,X265&lt;&gt;¨N/A¨))</xm:f>
            <x14:dxf>
              <fill>
                <patternFill>
                  <bgColor theme="1" tint="0.499984740745262"/>
                </patternFill>
              </fill>
            </x14:dxf>
          </x14:cfRule>
          <x14:cfRule type="expression" priority="8067" stopIfTrue="1" id="{D55B5FE1-A447-4449-A606-5640C3220703}">
            <xm:f>AND(IF(X265='F:\Users\norela.briceno\Documents\Plan de acción\Plan Accion 2018\[Plan Accion Integrado ADRES Vigencia 2018 con Cuadro de Mando V6..xlsx]Plan de Accion 2018'!#REF!,X265&lt;&gt;"N/A"))</xm:f>
            <x14:dxf>
              <fill>
                <patternFill>
                  <bgColor rgb="FF00B050"/>
                </patternFill>
              </fill>
            </x14:dxf>
          </x14:cfRule>
          <x14:cfRule type="expression" priority="8068" stopIfTrue="1" id="{FCE081D2-4D0E-4EF1-96C2-6C6B98705A89}">
            <xm:f>AND(IF(X265&lt;'F:\Users\norela.briceno\Documents\Plan de acción\Plan Accion 2018\[Plan Accion Integrado ADRES Vigencia 2018 con Cuadro de Mando V6..xlsx]Plan de Accion 2018'!#REF!,X265&lt;&gt;"N/A"))</xm:f>
            <x14:dxf>
              <fill>
                <patternFill>
                  <bgColor indexed="10"/>
                </patternFill>
              </fill>
            </x14:dxf>
          </x14:cfRule>
          <xm:sqref>X265</xm:sqref>
        </x14:conditionalFormatting>
        <x14:conditionalFormatting xmlns:xm="http://schemas.microsoft.com/office/excel/2006/main">
          <x14:cfRule type="expression" priority="8063" id="{8F3C5A20-1B0D-4BB5-8B2A-583350CB1478}">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8064" stopIfTrue="1" id="{44EA4250-636B-483C-9948-8D57476F81B0}">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8065" stopIfTrue="1" id="{C9575002-1C8C-4D36-9026-4A52C263AFE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8060" id="{9F8ECB4C-F90A-4A67-9734-6ED8D02E3980}">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8061" stopIfTrue="1" id="{7E836943-D240-4B67-980D-CE91322C4045}">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8062" stopIfTrue="1" id="{69966678-ACEF-4691-9E11-49CF9AAB0C95}">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8057" id="{61B3D519-E748-4549-B51C-F066C533E991}">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8058" stopIfTrue="1" id="{BB6B9EF3-A279-490A-B855-3F4A3EF2C8B6}">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8059" stopIfTrue="1" id="{41779ADA-6A15-4697-A868-A682DC7861DC}">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8015" id="{E64D5ED3-469A-4087-9B83-F621823B6F53}">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8016" stopIfTrue="1" id="{0F950A5B-05C3-456E-9191-A80E9ECA5FA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8017" stopIfTrue="1" id="{EBBED17D-FED2-4E5A-8A96-3BA9370A7022}">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8051" id="{11AE12C2-1A02-49D9-9BC8-4304F996C501}">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8052" stopIfTrue="1" id="{696E670C-BA6C-43DC-A194-9FB73C010859}">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8053" stopIfTrue="1" id="{9441D1CA-CE85-4454-953B-A9FF8D85F25A}">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8048" id="{2BE1CA22-DE2D-40BF-8911-9F1331E66343}">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8049" stopIfTrue="1" id="{B50C9818-5BEA-4B02-830D-0A864D2539FF}">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8050" stopIfTrue="1" id="{3E841FB9-D30D-43BD-800F-137206DF15F4}">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8045" id="{A931D7A7-55FC-4AFE-909F-9260E74AE2B3}">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8046" stopIfTrue="1" id="{4E7CE4A3-9996-4818-B9DA-2B4A974A8CB8}">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8047" stopIfTrue="1" id="{B829A972-1A74-46B3-A8C6-5575063751E4}">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8042" id="{05375932-E8C4-4699-9586-469EAFB7A24D}">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8043" stopIfTrue="1" id="{05631205-9550-4D05-9D1B-E76DC3366AC3}">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8044" stopIfTrue="1" id="{9E8B7E02-D83C-4AC3-B8BE-662AE90D0611}">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8039" id="{19B2B739-4B75-4727-B81D-DD0099C05F57}">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8040" stopIfTrue="1" id="{03304283-7B80-4ED1-86DA-88AD39D470E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8041" stopIfTrue="1" id="{E8B37DBC-4D14-4C7F-A0B3-970B6B81A4B0}">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8036" id="{A4BD94F4-94E8-4B58-BF22-2D7763B5E384}">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8037" stopIfTrue="1" id="{0F964BCC-EE19-40FE-AAA6-FDB9AEDA6C9E}">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8038" stopIfTrue="1" id="{5B2647D9-B096-4E07-BEBE-0EC36B354C99}">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8033" id="{A5E8188D-9530-4940-8835-F4BB7FB914C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8034" stopIfTrue="1" id="{E551EBD0-CBFB-4217-8FE5-7B6313704609}">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8035" stopIfTrue="1" id="{9E1BF07E-4108-4F34-8FAF-13269DF4FB20}">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8030" id="{BEB8373A-F015-48BF-8B47-34A7F2FEEA5F}">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8031" stopIfTrue="1" id="{16BE376F-0CBC-4578-8A8B-364C7E4B9723}">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8032" stopIfTrue="1" id="{2D89DA6C-7CF2-43BA-8CC4-22AA482A9870}">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8027" id="{A8B3C4E4-BAA6-4905-8651-D85752DDD539}">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8028" stopIfTrue="1" id="{AF078B7A-9678-4084-846D-76912C99D93F}">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8029" stopIfTrue="1" id="{E1F5A88E-62AA-41E8-97FE-E6E0D9A951D6}">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8024" id="{A0DB0845-0A2F-4E85-8146-34B8725FB760}">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8025" stopIfTrue="1" id="{C2DD19BE-9EEA-4683-86BE-5FFD16B057C4}">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8026" stopIfTrue="1" id="{4427CC31-27D0-43DA-A9F3-D2D22F0ACD73}">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8021" id="{CF1C103F-5D59-47D2-B2EE-CBEE3EC0B8B6}">
            <xm:f>AND(IF(X281&gt;'F:\Users\norela.briceno\Documents\Plan de acción\Plan Accion 2018\[Plan Accion Integrado ADRES Vigencia 2018 con Cuadro de Mando V6..xlsx]Plan de Accion 2018'!#REF!,X281&lt;&gt;¨N/A¨))</xm:f>
            <x14:dxf>
              <fill>
                <patternFill>
                  <bgColor theme="1" tint="0.499984740745262"/>
                </patternFill>
              </fill>
            </x14:dxf>
          </x14:cfRule>
          <x14:cfRule type="expression" priority="8022" stopIfTrue="1" id="{FD6C8D1B-911E-45B8-BF8B-3444CB9E4795}">
            <xm:f>AND(IF(X281='F:\Users\norela.briceno\Documents\Plan de acción\Plan Accion 2018\[Plan Accion Integrado ADRES Vigencia 2018 con Cuadro de Mando V6..xlsx]Plan de Accion 2018'!#REF!,X281&lt;&gt;"N/A"))</xm:f>
            <x14:dxf>
              <fill>
                <patternFill>
                  <bgColor rgb="FF00B050"/>
                </patternFill>
              </fill>
            </x14:dxf>
          </x14:cfRule>
          <x14:cfRule type="expression" priority="8023" stopIfTrue="1" id="{70D66B03-4AFD-4024-BDEB-B5BABA5E8050}">
            <xm:f>AND(IF(X281&lt;'F:\Users\norela.briceno\Documents\Plan de acción\Plan Accion 2018\[Plan Accion Integrado ADRES Vigencia 2018 con Cuadro de Mando V6..xlsx]Plan de Accion 2018'!#REF!,X281&lt;&gt;"N/A"))</xm:f>
            <x14:dxf>
              <fill>
                <patternFill>
                  <bgColor indexed="10"/>
                </patternFill>
              </fill>
            </x14:dxf>
          </x14:cfRule>
          <xm:sqref>X281</xm:sqref>
        </x14:conditionalFormatting>
        <x14:conditionalFormatting xmlns:xm="http://schemas.microsoft.com/office/excel/2006/main">
          <x14:cfRule type="expression" priority="8018" id="{5074389F-A03E-4341-9666-7DC94CD3BE4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8019" stopIfTrue="1" id="{E67AB42E-D4EC-42F0-8739-1BF198DCF92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8020" stopIfTrue="1" id="{496E4543-CCEF-43B1-9CEF-161824F11372}">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8012" id="{AD84F002-1A94-4BBA-93F7-E7D713A0F48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8013" stopIfTrue="1" id="{5507D00B-6310-40A8-92EB-A2133FCAA571}">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8014" stopIfTrue="1" id="{9BA5CC62-706F-4FFE-924F-66ED2B755039}">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8009" id="{8CB76048-960D-4B3B-A35F-221E8D7A4E68}">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8010" stopIfTrue="1" id="{15A0054B-F405-4E13-B8EE-5F14223C7600}">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8011" stopIfTrue="1" id="{CD85CBD5-E253-4B3D-BAE5-056F48A02C31}">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8006" id="{C20B3FCD-D368-40FB-BF2B-96E4E088386B}">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8007" stopIfTrue="1" id="{B77C1172-F062-4DB6-A616-340A6344FD57}">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8008" stopIfTrue="1" id="{1A70AEB2-2BBF-4F60-8037-63401D383307}">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8003" id="{820DC77F-5C62-480F-9127-20BDBBFB112D}">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8004" stopIfTrue="1" id="{ACB67091-E312-4C13-A136-31F2B3E3E715}">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8005" stopIfTrue="1" id="{B9D23984-EA1B-4C10-A335-73B95F558B46}">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8000" id="{6DEAD6E9-04E0-4068-BDA8-0BB141A795E7}">
            <xm:f>AND(IF(X297&gt;'F:\Users\norela.briceno\Documents\Plan de acción\Plan Accion 2018\[Plan Accion Integrado ADRES Vigencia 2018 con Cuadro de Mando V6..xlsx]Plan de Accion 2018'!#REF!,X297&lt;&gt;¨N/A¨))</xm:f>
            <x14:dxf>
              <fill>
                <patternFill>
                  <bgColor theme="1" tint="0.499984740745262"/>
                </patternFill>
              </fill>
            </x14:dxf>
          </x14:cfRule>
          <x14:cfRule type="expression" priority="8001" stopIfTrue="1" id="{DA45ADEA-5A48-47F2-8210-E34B5AED6E86}">
            <xm:f>AND(IF(X297='F:\Users\norela.briceno\Documents\Plan de acción\Plan Accion 2018\[Plan Accion Integrado ADRES Vigencia 2018 con Cuadro de Mando V6..xlsx]Plan de Accion 2018'!#REF!,X297&lt;&gt;"N/A"))</xm:f>
            <x14:dxf>
              <fill>
                <patternFill>
                  <bgColor rgb="FF00B050"/>
                </patternFill>
              </fill>
            </x14:dxf>
          </x14:cfRule>
          <x14:cfRule type="expression" priority="8002" stopIfTrue="1" id="{61D38104-662C-4CB6-9959-649F7DDA0897}">
            <xm:f>AND(IF(X297&lt;'F:\Users\norela.briceno\Documents\Plan de acción\Plan Accion 2018\[Plan Accion Integrado ADRES Vigencia 2018 con Cuadro de Mando V6..xlsx]Plan de Accion 2018'!#REF!,X297&lt;&gt;"N/A"))</xm:f>
            <x14:dxf>
              <fill>
                <patternFill>
                  <bgColor indexed="10"/>
                </patternFill>
              </fill>
            </x14:dxf>
          </x14:cfRule>
          <xm:sqref>X297</xm:sqref>
        </x14:conditionalFormatting>
        <x14:conditionalFormatting xmlns:xm="http://schemas.microsoft.com/office/excel/2006/main">
          <x14:cfRule type="expression" priority="7997" id="{55BC7DF6-90E8-47F2-AC24-F08EA08D1B91}">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7998" stopIfTrue="1" id="{EABC1881-3707-4D86-8D19-799F3CF2F52B}">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7999" stopIfTrue="1" id="{7411A284-E47F-4EB1-B355-F590874BE57C}">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7994" id="{8233F2C0-924F-41F1-AF4B-88863F39096E}">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7995" stopIfTrue="1" id="{78E849C4-2502-4AD4-87BD-CB7F8598744D}">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7996" stopIfTrue="1" id="{2697C74B-19C0-4397-9F3A-59B362A8FFDD}">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7991" id="{5803BB87-1376-4FFE-AFA6-F928162EE95D}">
            <xm:f>AND(IF(X301&gt;'F:\Users\norela.briceno\Documents\Plan de acción\Plan Accion 2018\[Plan Accion Integrado ADRES Vigencia 2018 con Cuadro de Mando V6..xlsx]Plan de Accion 2018'!#REF!,X301&lt;&gt;¨N/A¨))</xm:f>
            <x14:dxf>
              <fill>
                <patternFill>
                  <bgColor theme="1" tint="0.499984740745262"/>
                </patternFill>
              </fill>
            </x14:dxf>
          </x14:cfRule>
          <x14:cfRule type="expression" priority="7992" stopIfTrue="1" id="{C10ABD3D-9E98-4C93-A67B-B934FBC940F6}">
            <xm:f>AND(IF(X301='F:\Users\norela.briceno\Documents\Plan de acción\Plan Accion 2018\[Plan Accion Integrado ADRES Vigencia 2018 con Cuadro de Mando V6..xlsx]Plan de Accion 2018'!#REF!,X301&lt;&gt;"N/A"))</xm:f>
            <x14:dxf>
              <fill>
                <patternFill>
                  <bgColor rgb="FF00B050"/>
                </patternFill>
              </fill>
            </x14:dxf>
          </x14:cfRule>
          <x14:cfRule type="expression" priority="7993" stopIfTrue="1" id="{F1F6B9E1-DFC2-48AF-9FF2-53BAC882F750}">
            <xm:f>AND(IF(X301&lt;'F:\Users\norela.briceno\Documents\Plan de acción\Plan Accion 2018\[Plan Accion Integrado ADRES Vigencia 2018 con Cuadro de Mando V6..xlsx]Plan de Accion 2018'!#REF!,X301&lt;&gt;"N/A"))</xm:f>
            <x14:dxf>
              <fill>
                <patternFill>
                  <bgColor indexed="10"/>
                </patternFill>
              </fill>
            </x14:dxf>
          </x14:cfRule>
          <xm:sqref>X301</xm:sqref>
        </x14:conditionalFormatting>
        <x14:conditionalFormatting xmlns:xm="http://schemas.microsoft.com/office/excel/2006/main">
          <x14:cfRule type="expression" priority="7985" id="{D826BFDC-C27D-4EAB-ADF3-145C46930A24}">
            <xm:f>AND(IF(X305&gt;'F:\Users\norela.briceno\Documents\Plan de acción\Plan Accion 2018\[Plan Accion Integrado ADRES Vigencia 2018 con Cuadro de Mando V6..xlsx]Plan de Accion 2018'!#REF!,X305&lt;&gt;¨N/A¨))</xm:f>
            <x14:dxf>
              <fill>
                <patternFill>
                  <bgColor theme="1" tint="0.499984740745262"/>
                </patternFill>
              </fill>
            </x14:dxf>
          </x14:cfRule>
          <x14:cfRule type="expression" priority="7986" stopIfTrue="1" id="{CBF8BCAC-A26F-4ECF-BD71-57D02157B63E}">
            <xm:f>AND(IF(X305='F:\Users\norela.briceno\Documents\Plan de acción\Plan Accion 2018\[Plan Accion Integrado ADRES Vigencia 2018 con Cuadro de Mando V6..xlsx]Plan de Accion 2018'!#REF!,X305&lt;&gt;"N/A"))</xm:f>
            <x14:dxf>
              <fill>
                <patternFill>
                  <bgColor rgb="FF00B050"/>
                </patternFill>
              </fill>
            </x14:dxf>
          </x14:cfRule>
          <x14:cfRule type="expression" priority="7987" stopIfTrue="1" id="{B74ACFAC-7155-46E0-9290-49FF2F0C64E7}">
            <xm:f>AND(IF(X305&lt;'F:\Users\norela.briceno\Documents\Plan de acción\Plan Accion 2018\[Plan Accion Integrado ADRES Vigencia 2018 con Cuadro de Mando V6..xlsx]Plan de Accion 2018'!#REF!,X305&lt;&gt;"N/A"))</xm:f>
            <x14:dxf>
              <fill>
                <patternFill>
                  <bgColor indexed="10"/>
                </patternFill>
              </fill>
            </x14:dxf>
          </x14:cfRule>
          <xm:sqref>X305</xm:sqref>
        </x14:conditionalFormatting>
        <x14:conditionalFormatting xmlns:xm="http://schemas.microsoft.com/office/excel/2006/main">
          <x14:cfRule type="expression" priority="7982" id="{86FB3F21-AB27-4A04-AA21-AF9CA07CA2C5}">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7983" stopIfTrue="1" id="{38B6BD0E-1D41-4F39-A10C-3417755DE7C9}">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7984" stopIfTrue="1" id="{C36F5010-811B-44FD-92F7-37C7AE7A148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7979" id="{B248DD04-5EE4-44D1-A7EB-C38400C67F60}">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7980" stopIfTrue="1" id="{D212A704-4328-4191-BEF9-3B46EA41EB37}">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7981" stopIfTrue="1" id="{2083045A-F48D-4470-B8FB-68CE71CBC2B2}">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7976" id="{3F1D4952-6D83-4187-9CC9-5D37C3DF5E3A}">
            <xm:f>AND(IF(X309&gt;'F:\Users\norela.briceno\Documents\Plan de acción\Plan Accion 2018\[Plan Accion Integrado ADRES Vigencia 2018 con Cuadro de Mando V6..xlsx]Plan de Accion 2018'!#REF!,X309&lt;&gt;¨N/A¨))</xm:f>
            <x14:dxf>
              <fill>
                <patternFill>
                  <bgColor theme="1" tint="0.499984740745262"/>
                </patternFill>
              </fill>
            </x14:dxf>
          </x14:cfRule>
          <x14:cfRule type="expression" priority="7977" stopIfTrue="1" id="{13AD966A-496B-400A-BE1E-E8DC84368E91}">
            <xm:f>AND(IF(X309='F:\Users\norela.briceno\Documents\Plan de acción\Plan Accion 2018\[Plan Accion Integrado ADRES Vigencia 2018 con Cuadro de Mando V6..xlsx]Plan de Accion 2018'!#REF!,X309&lt;&gt;"N/A"))</xm:f>
            <x14:dxf>
              <fill>
                <patternFill>
                  <bgColor rgb="FF00B050"/>
                </patternFill>
              </fill>
            </x14:dxf>
          </x14:cfRule>
          <x14:cfRule type="expression" priority="7978" stopIfTrue="1" id="{82E967AA-0C87-4F00-987A-81AD1F2A9913}">
            <xm:f>AND(IF(X309&lt;'F:\Users\norela.briceno\Documents\Plan de acción\Plan Accion 2018\[Plan Accion Integrado ADRES Vigencia 2018 con Cuadro de Mando V6..xlsx]Plan de Accion 2018'!#REF!,X309&lt;&gt;"N/A"))</xm:f>
            <x14:dxf>
              <fill>
                <patternFill>
                  <bgColor indexed="10"/>
                </patternFill>
              </fill>
            </x14:dxf>
          </x14:cfRule>
          <xm:sqref>X309</xm:sqref>
        </x14:conditionalFormatting>
        <x14:conditionalFormatting xmlns:xm="http://schemas.microsoft.com/office/excel/2006/main">
          <x14:cfRule type="expression" priority="7973" id="{8DC23D2F-BEE7-45F1-81EE-BB06B704556C}">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7974" stopIfTrue="1" id="{3D71F5B6-A90A-40D5-8067-B817CB52C695}">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7975" stopIfTrue="1" id="{0955513B-721B-4559-8403-5E337F082FC2}">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7970" id="{61CD7194-2564-400B-9057-7616294CD2CD}">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7971" stopIfTrue="1" id="{095B12AD-87C8-4EC2-A693-F1A1E1A6BC52}">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7972" stopIfTrue="1" id="{4744AEC1-95E5-4186-91F1-897B2E9A6308}">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7967" id="{6E71DE50-BD7D-45E0-8994-47E46E72E8CE}">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7968" stopIfTrue="1" id="{8A6DFDEA-8F43-4154-80B0-25A3C6957BB6}">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7969" stopIfTrue="1" id="{C97E9B85-CFE3-4BE5-B4EF-11102E0ECE52}">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7964" id="{0C039764-8263-4789-8DFC-37A423A970C8}">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7965" stopIfTrue="1" id="{18158B36-1CF4-48DE-AC09-01E20316B329}">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7966" stopIfTrue="1" id="{B3715C8C-A803-476A-97A7-60884E4CE441}">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7961" id="{6177D855-B54F-4F27-BAFC-2EC784E98A32}">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7962" stopIfTrue="1" id="{678B81B7-6D34-4538-8E34-2CF4A9F50604}">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7963" stopIfTrue="1" id="{51DF5788-F1F5-407E-8F52-6CF5A7FBE2BE}">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7952" id="{AB2A33AD-928B-4576-A8A9-D1D77992DDC3}">
            <xm:f>AND(IF(X321&gt;'F:\Users\norela.briceno\Documents\Plan de acción\Plan Accion 2018\[Plan Accion Integrado ADRES Vigencia 2018 con Cuadro de Mando V6..xlsx]Plan de Accion 2018'!#REF!,X321&lt;&gt;¨N/A¨))</xm:f>
            <x14:dxf>
              <fill>
                <patternFill>
                  <bgColor theme="1" tint="0.499984740745262"/>
                </patternFill>
              </fill>
            </x14:dxf>
          </x14:cfRule>
          <x14:cfRule type="expression" priority="7953" stopIfTrue="1" id="{EC33804B-662D-4D3B-9811-259CC76631F5}">
            <xm:f>AND(IF(X321='F:\Users\norela.briceno\Documents\Plan de acción\Plan Accion 2018\[Plan Accion Integrado ADRES Vigencia 2018 con Cuadro de Mando V6..xlsx]Plan de Accion 2018'!#REF!,X321&lt;&gt;"N/A"))</xm:f>
            <x14:dxf>
              <fill>
                <patternFill>
                  <bgColor rgb="FF00B050"/>
                </patternFill>
              </fill>
            </x14:dxf>
          </x14:cfRule>
          <x14:cfRule type="expression" priority="7954" stopIfTrue="1" id="{922FCFF6-43CF-404C-B555-06B7C490CE8F}">
            <xm:f>AND(IF(X321&lt;'F:\Users\norela.briceno\Documents\Plan de acción\Plan Accion 2018\[Plan Accion Integrado ADRES Vigencia 2018 con Cuadro de Mando V6..xlsx]Plan de Accion 2018'!#REF!,X321&lt;&gt;"N/A"))</xm:f>
            <x14:dxf>
              <fill>
                <patternFill>
                  <bgColor indexed="10"/>
                </patternFill>
              </fill>
            </x14:dxf>
          </x14:cfRule>
          <xm:sqref>X321</xm:sqref>
        </x14:conditionalFormatting>
        <x14:conditionalFormatting xmlns:xm="http://schemas.microsoft.com/office/excel/2006/main">
          <x14:cfRule type="expression" priority="7949" id="{1B3C8E23-4F86-480D-BC2A-C455B2DC2EED}">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7950" stopIfTrue="1" id="{A66A9588-1F43-4819-AE92-BAED848344A2}">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7951" stopIfTrue="1" id="{38D1E117-5365-4294-AAEE-9CA29BCE779E}">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7937" id="{A817BF57-BD5A-42C5-9BC5-36700D6DC781}">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7938" stopIfTrue="1" id="{16710965-3D8E-4CBC-B13D-5048FDE833FD}">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7939" stopIfTrue="1" id="{B7A89F77-8363-43E2-858B-7F00394B4C69}">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7934" id="{812E80E6-24C5-4400-8F86-C10F9BEE39C1}">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7935" stopIfTrue="1" id="{9CE03A97-7DA2-4E66-B215-73C6FA3603E4}">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7936" stopIfTrue="1" id="{2CE497A0-450E-475F-851C-CAAE0670FE4A}">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7931" id="{E98D696D-87A9-4FF9-95CC-A2D715739685}">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7932" stopIfTrue="1" id="{EDC31330-6E1D-49E9-AE18-AF07AAB25462}">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7933" stopIfTrue="1" id="{EB211209-EA16-4697-9766-BB40F3292BE3}">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7928" id="{0DFFCCB2-C919-4185-9C1B-A2CC9828282D}">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7929" stopIfTrue="1" id="{B10729DF-5FCC-4F81-8D2B-FC801090D498}">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7930" stopIfTrue="1" id="{D39A42B5-872A-4DC6-8E43-FA2CCEBF7867}">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7925" id="{1C1C7FD3-EFBC-47D0-AD6F-18B606125A47}">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7926" stopIfTrue="1" id="{2BD30257-47E2-4F8D-8CEE-CF339D2E30A1}">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7927" stopIfTrue="1" id="{94E647F0-8F5B-4D09-A83A-586ECC67F5E1}">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7922" id="{F70F0F38-FC5D-477E-8956-69BFA79D4DFD}">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7923" stopIfTrue="1" id="{A7853F64-932E-4E6E-B874-65BD744C36D0}">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7924" stopIfTrue="1" id="{66C69939-48E8-4076-936B-F5BD2855232D}">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7919" id="{E5727483-F55D-4F37-88F4-6E3518AC47BC}">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7920" stopIfTrue="1" id="{7C0FF403-E5F0-4504-8066-BEAC4145F5D4}">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7921" stopIfTrue="1" id="{0984980F-0035-4A71-8420-59237E52955F}">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7916" id="{E20B0C65-3E71-4B79-B265-3A0C8BF3970E}">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7917" stopIfTrue="1" id="{0C48D5E8-5CCB-4CBD-8C9D-47EFCCB8AAEA}">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7918" stopIfTrue="1" id="{A995C821-8E23-422E-B493-D8D16B9CD9AC}">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7913" id="{D37E1BD4-01D5-4D94-A807-66DEF2848CBF}">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7914" stopIfTrue="1" id="{2C100F58-EDE7-4B02-88FF-2F62683A3EDF}">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7915" stopIfTrue="1" id="{78745610-F766-42AF-8CE5-A0FAE5104EDC}">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7868" id="{C30D828D-2B61-46A1-A74C-52496A91A752}">
            <xm:f>AND(IF(X350&gt;'F:\Users\norela.briceno\Documents\Plan de acción\Plan Accion 2018\[Plan Accion Integrado ADRES Vigencia 2018 con Cuadro de Mando V6..xlsx]Plan de Accion 2018'!#REF!,X350&lt;&gt;¨N/A¨))</xm:f>
            <x14:dxf>
              <fill>
                <patternFill>
                  <bgColor theme="1" tint="0.499984740745262"/>
                </patternFill>
              </fill>
            </x14:dxf>
          </x14:cfRule>
          <x14:cfRule type="expression" priority="7869" stopIfTrue="1" id="{0BB08879-C7C5-4E08-81F5-ECDE03469316}">
            <xm:f>AND(IF(X350='F:\Users\norela.briceno\Documents\Plan de acción\Plan Accion 2018\[Plan Accion Integrado ADRES Vigencia 2018 con Cuadro de Mando V6..xlsx]Plan de Accion 2018'!#REF!,X350&lt;&gt;"N/A"))</xm:f>
            <x14:dxf>
              <fill>
                <patternFill>
                  <bgColor rgb="FF00B050"/>
                </patternFill>
              </fill>
            </x14:dxf>
          </x14:cfRule>
          <x14:cfRule type="expression" priority="7870" stopIfTrue="1" id="{8454FC45-FD8A-45A2-BD23-3C324C606DE5}">
            <xm:f>AND(IF(X350&lt;'F:\Users\norela.briceno\Documents\Plan de acción\Plan Accion 2018\[Plan Accion Integrado ADRES Vigencia 2018 con Cuadro de Mando V6..xlsx]Plan de Accion 2018'!#REF!,X350&lt;&gt;"N/A"))</xm:f>
            <x14:dxf>
              <fill>
                <patternFill>
                  <bgColor indexed="10"/>
                </patternFill>
              </fill>
            </x14:dxf>
          </x14:cfRule>
          <xm:sqref>X350</xm:sqref>
        </x14:conditionalFormatting>
        <x14:conditionalFormatting xmlns:xm="http://schemas.microsoft.com/office/excel/2006/main">
          <x14:cfRule type="expression" priority="7865" id="{6216847F-BE76-4509-A556-3E11FC4FFDC7}">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7866" stopIfTrue="1" id="{F1761B13-E32C-43DC-BF51-574EC12BC46D}">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7867" stopIfTrue="1" id="{D6F06D70-140B-4FE4-A057-20800A53E1AA}">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7844" id="{AAFB95E0-116F-44DD-986D-354C6DBA0B06}">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7845" stopIfTrue="1" id="{A916369B-E651-4DDF-82BF-7B8F0603F60B}">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7846" stopIfTrue="1" id="{6C766714-8A06-4557-8FC4-D430DB6B2A7D}">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7841" id="{7146B9F2-1FE5-4D4D-8012-E653B4811D37}">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842" stopIfTrue="1" id="{FFAD7C9B-CC13-452D-89F7-D9D4D322682E}">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843" stopIfTrue="1" id="{E61CEBF6-997F-44D4-8AFD-893508ED5A3D}">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838" id="{54A175BC-B34C-42E8-BD7B-63E56952BABE}">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7839" stopIfTrue="1" id="{B07FA84E-BA4C-4BB0-82FD-87D80DA5E57F}">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7840" stopIfTrue="1" id="{AC15B1C5-9053-445F-A979-C8DC5AA30B32}">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7835" id="{EF6D873B-D3CB-429C-A710-592333092C24}">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7836" stopIfTrue="1" id="{DCB22A1F-DB7A-4EF5-A39A-4D84E6783267}">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7837" stopIfTrue="1" id="{2004CDDD-30F2-48CE-AB9C-BEC8F7A8EFE5}">
            <xm:f>AND(IF(X359&lt;'F:\Users\norela.briceno\Documents\Plan de acción\Plan Accion 2018\[Plan Accion Integrado ADRES Vigencia 2018 con Cuadro de Mando V6..xlsx]Plan de Accion 2018'!#REF!,X359&lt;&gt;"N/A"))</xm:f>
            <x14:dxf>
              <fill>
                <patternFill>
                  <bgColor indexed="10"/>
                </patternFill>
              </fill>
            </x14:dxf>
          </x14:cfRule>
          <xm:sqref>X359 X361</xm:sqref>
        </x14:conditionalFormatting>
        <x14:conditionalFormatting xmlns:xm="http://schemas.microsoft.com/office/excel/2006/main">
          <x14:cfRule type="expression" priority="7832" id="{B27D13C5-E682-434E-95B8-3EE02E81D0FF}">
            <xm:f>AND(IF(X362&gt;'F:\Users\norela.briceno\Documents\Plan de acción\Plan Accion 2018\[Plan Accion Integrado ADRES Vigencia 2018 con Cuadro de Mando V6..xlsx]Plan de Accion 2018'!#REF!,X362&lt;&gt;¨N/A¨))</xm:f>
            <x14:dxf>
              <fill>
                <patternFill>
                  <bgColor theme="1" tint="0.499984740745262"/>
                </patternFill>
              </fill>
            </x14:dxf>
          </x14:cfRule>
          <x14:cfRule type="expression" priority="7833" stopIfTrue="1" id="{64B50708-3B37-452A-A372-06635CFBBA34}">
            <xm:f>AND(IF(X362='F:\Users\norela.briceno\Documents\Plan de acción\Plan Accion 2018\[Plan Accion Integrado ADRES Vigencia 2018 con Cuadro de Mando V6..xlsx]Plan de Accion 2018'!#REF!,X362&lt;&gt;"N/A"))</xm:f>
            <x14:dxf>
              <fill>
                <patternFill>
                  <bgColor rgb="FF00B050"/>
                </patternFill>
              </fill>
            </x14:dxf>
          </x14:cfRule>
          <x14:cfRule type="expression" priority="7834" stopIfTrue="1" id="{5E52F88F-697F-42C2-BB96-D0F699174790}">
            <xm:f>AND(IF(X362&lt;'F:\Users\norela.briceno\Documents\Plan de acción\Plan Accion 2018\[Plan Accion Integrado ADRES Vigencia 2018 con Cuadro de Mando V6..xlsx]Plan de Accion 2018'!#REF!,X362&lt;&gt;"N/A"))</xm:f>
            <x14:dxf>
              <fill>
                <patternFill>
                  <bgColor indexed="10"/>
                </patternFill>
              </fill>
            </x14:dxf>
          </x14:cfRule>
          <xm:sqref>X362</xm:sqref>
        </x14:conditionalFormatting>
        <x14:conditionalFormatting xmlns:xm="http://schemas.microsoft.com/office/excel/2006/main">
          <x14:cfRule type="expression" priority="7829" id="{75565626-94AD-4B9E-B53A-45775C7FC6E3}">
            <xm:f>AND(IF(X363&gt;'F:\Users\norela.briceno\Documents\Plan de acción\Plan Accion 2018\[Plan Accion Integrado ADRES Vigencia 2018 con Cuadro de Mando V6..xlsx]Plan de Accion 2018'!#REF!,X363&lt;&gt;¨N/A¨))</xm:f>
            <x14:dxf>
              <fill>
                <patternFill>
                  <bgColor theme="1" tint="0.499984740745262"/>
                </patternFill>
              </fill>
            </x14:dxf>
          </x14:cfRule>
          <x14:cfRule type="expression" priority="7830" stopIfTrue="1" id="{BC565C92-C1D9-4B74-9B40-9A5BDD60E87D}">
            <xm:f>AND(IF(X363='F:\Users\norela.briceno\Documents\Plan de acción\Plan Accion 2018\[Plan Accion Integrado ADRES Vigencia 2018 con Cuadro de Mando V6..xlsx]Plan de Accion 2018'!#REF!,X363&lt;&gt;"N/A"))</xm:f>
            <x14:dxf>
              <fill>
                <patternFill>
                  <bgColor rgb="FF00B050"/>
                </patternFill>
              </fill>
            </x14:dxf>
          </x14:cfRule>
          <x14:cfRule type="expression" priority="7831" stopIfTrue="1" id="{DC6B3F33-1DD0-4E22-938F-716CA08C5650}">
            <xm:f>AND(IF(X363&lt;'F:\Users\norela.briceno\Documents\Plan de acción\Plan Accion 2018\[Plan Accion Integrado ADRES Vigencia 2018 con Cuadro de Mando V6..xlsx]Plan de Accion 2018'!#REF!,X363&lt;&gt;"N/A"))</xm:f>
            <x14:dxf>
              <fill>
                <patternFill>
                  <bgColor indexed="10"/>
                </patternFill>
              </fill>
            </x14:dxf>
          </x14:cfRule>
          <xm:sqref>X363</xm:sqref>
        </x14:conditionalFormatting>
        <x14:conditionalFormatting xmlns:xm="http://schemas.microsoft.com/office/excel/2006/main">
          <x14:cfRule type="expression" priority="7826" id="{4204F6AF-11C6-4810-A748-572ABC527053}">
            <xm:f>AND(IF(AE363&gt;'F:\Users\norela.briceno\Documents\Plan de acción\Plan Accion 2018\[Plan Accion Integrado ADRES Vigencia 2018 con Cuadro de Mando V6..xlsx]Plan de Accion 2018'!#REF!,AE363&lt;&gt;¨N/A¨))</xm:f>
            <x14:dxf>
              <fill>
                <patternFill>
                  <bgColor theme="1" tint="0.499984740745262"/>
                </patternFill>
              </fill>
            </x14:dxf>
          </x14:cfRule>
          <x14:cfRule type="expression" priority="7827" stopIfTrue="1" id="{09445627-BB75-46E9-B29F-D053B221D519}">
            <xm:f>AND(IF(AE363='F:\Users\norela.briceno\Documents\Plan de acción\Plan Accion 2018\[Plan Accion Integrado ADRES Vigencia 2018 con Cuadro de Mando V6..xlsx]Plan de Accion 2018'!#REF!,AE363&lt;&gt;"N/A"))</xm:f>
            <x14:dxf>
              <fill>
                <patternFill>
                  <bgColor rgb="FF00B050"/>
                </patternFill>
              </fill>
            </x14:dxf>
          </x14:cfRule>
          <x14:cfRule type="expression" priority="7828" stopIfTrue="1" id="{5F41D5C2-4B49-47C6-8C3B-E4EC9B881A68}">
            <xm:f>AND(IF(AE363&lt;'F:\Users\norela.briceno\Documents\Plan de acción\Plan Accion 2018\[Plan Accion Integrado ADRES Vigencia 2018 con Cuadro de Mando V6..xlsx]Plan de Accion 2018'!#REF!,AE363&lt;&gt;"N/A"))</xm:f>
            <x14:dxf>
              <fill>
                <patternFill>
                  <bgColor indexed="10"/>
                </patternFill>
              </fill>
            </x14:dxf>
          </x14:cfRule>
          <xm:sqref>AE363</xm:sqref>
        </x14:conditionalFormatting>
        <x14:conditionalFormatting xmlns:xm="http://schemas.microsoft.com/office/excel/2006/main">
          <x14:cfRule type="expression" priority="7823" id="{969C9820-6EBB-49C4-81EE-70A1CFF3E668}">
            <xm:f>AND(IF(AE362&gt;'F:\Users\norela.briceno\Documents\Plan de acción\Plan Accion 2018\[Plan Accion Integrado ADRES Vigencia 2018 con Cuadro de Mando V6..xlsx]Plan de Accion 2018'!#REF!,AE362&lt;&gt;¨N/A¨))</xm:f>
            <x14:dxf>
              <fill>
                <patternFill>
                  <bgColor theme="1" tint="0.499984740745262"/>
                </patternFill>
              </fill>
            </x14:dxf>
          </x14:cfRule>
          <x14:cfRule type="expression" priority="7824" stopIfTrue="1" id="{E93ACE42-B7F1-4E8B-B622-5A526ACBEF77}">
            <xm:f>AND(IF(AE362='F:\Users\norela.briceno\Documents\Plan de acción\Plan Accion 2018\[Plan Accion Integrado ADRES Vigencia 2018 con Cuadro de Mando V6..xlsx]Plan de Accion 2018'!#REF!,AE362&lt;&gt;"N/A"))</xm:f>
            <x14:dxf>
              <fill>
                <patternFill>
                  <bgColor rgb="FF00B050"/>
                </patternFill>
              </fill>
            </x14:dxf>
          </x14:cfRule>
          <x14:cfRule type="expression" priority="7825" stopIfTrue="1" id="{70A4501E-2360-4693-8A27-4A6E247CC527}">
            <xm:f>AND(IF(AE362&lt;'F:\Users\norela.briceno\Documents\Plan de acción\Plan Accion 2018\[Plan Accion Integrado ADRES Vigencia 2018 con Cuadro de Mando V6..xlsx]Plan de Accion 2018'!#REF!,AE362&lt;&gt;"N/A"))</xm:f>
            <x14:dxf>
              <fill>
                <patternFill>
                  <bgColor indexed="10"/>
                </patternFill>
              </fill>
            </x14:dxf>
          </x14:cfRule>
          <xm:sqref>AE362</xm:sqref>
        </x14:conditionalFormatting>
        <x14:conditionalFormatting xmlns:xm="http://schemas.microsoft.com/office/excel/2006/main">
          <x14:cfRule type="expression" priority="7820" id="{83CDA44E-8E7B-40DA-98EA-CA04276515AF}">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7821" stopIfTrue="1" id="{BE5F60B4-C1E8-4B31-A796-487ADC1C7A89}">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7822" stopIfTrue="1" id="{DA6C9805-3E5A-4B9A-A482-2652EC132374}">
            <xm:f>AND(IF(AE359&lt;'F:\Users\norela.briceno\Documents\Plan de acción\Plan Accion 2018\[Plan Accion Integrado ADRES Vigencia 2018 con Cuadro de Mando V6..xlsx]Plan de Accion 2018'!#REF!,AE359&lt;&gt;"N/A"))</xm:f>
            <x14:dxf>
              <fill>
                <patternFill>
                  <bgColor indexed="10"/>
                </patternFill>
              </fill>
            </x14:dxf>
          </x14:cfRule>
          <xm:sqref>AE359 AE361</xm:sqref>
        </x14:conditionalFormatting>
        <x14:conditionalFormatting xmlns:xm="http://schemas.microsoft.com/office/excel/2006/main">
          <x14:cfRule type="expression" priority="7817" id="{D8C3C830-1C64-4C32-B28B-3850BBBE7A7E}">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7818" stopIfTrue="1" id="{6314D03C-6E39-4B6E-9971-B7DE405A01DC}">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7819" stopIfTrue="1" id="{9E4A89B1-54B1-4B60-A6CA-BB6AC4A3BD87}">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7814" id="{2E064F73-1034-4E6F-8C04-8A9466DBB7CF}">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7815" stopIfTrue="1" id="{0BAF1DAB-B292-4BD9-BA46-EBAA6BC91164}">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7816" stopIfTrue="1" id="{B9C0635F-F6FF-4DAC-886C-A3E619DBC32B}">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7811" id="{A528082E-746B-4063-8631-4F8222B13B8C}">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7812" stopIfTrue="1" id="{0EE2E455-BA53-4AB9-ACDC-A03492D67409}">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7813" stopIfTrue="1" id="{82285A43-1C46-43BE-B524-3533C58606BE}">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7790" id="{0C22B0BA-7BFA-45F0-B91C-510BC7CA9BA4}">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7791" stopIfTrue="1" id="{6C98027C-1D91-4AB3-81C4-E9DA344BED11}">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7792" stopIfTrue="1" id="{2A164961-5CC9-47E5-971B-D4FBAC20EEDF}">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7787" id="{DA234CE6-604F-44D9-9DE9-C5967646ECF5}">
            <xm:f>AND(IF(AE350&gt;'F:\Users\norela.briceno\Documents\Plan de acción\Plan Accion 2018\[Plan Accion Integrado ADRES Vigencia 2018 con Cuadro de Mando V6..xlsx]Plan de Accion 2018'!#REF!,AE350&lt;&gt;¨N/A¨))</xm:f>
            <x14:dxf>
              <fill>
                <patternFill>
                  <bgColor theme="1" tint="0.499984740745262"/>
                </patternFill>
              </fill>
            </x14:dxf>
          </x14:cfRule>
          <x14:cfRule type="expression" priority="7788" stopIfTrue="1" id="{0FB09515-B60A-4B19-9B7B-FB13AB59A576}">
            <xm:f>AND(IF(AE350='F:\Users\norela.briceno\Documents\Plan de acción\Plan Accion 2018\[Plan Accion Integrado ADRES Vigencia 2018 con Cuadro de Mando V6..xlsx]Plan de Accion 2018'!#REF!,AE350&lt;&gt;"N/A"))</xm:f>
            <x14:dxf>
              <fill>
                <patternFill>
                  <bgColor rgb="FF00B050"/>
                </patternFill>
              </fill>
            </x14:dxf>
          </x14:cfRule>
          <x14:cfRule type="expression" priority="7789" stopIfTrue="1" id="{7591B0D2-372E-49FF-BF09-18BB2012727F}">
            <xm:f>AND(IF(AE350&lt;'F:\Users\norela.briceno\Documents\Plan de acción\Plan Accion 2018\[Plan Accion Integrado ADRES Vigencia 2018 con Cuadro de Mando V6..xlsx]Plan de Accion 2018'!#REF!,AE350&lt;&gt;"N/A"))</xm:f>
            <x14:dxf>
              <fill>
                <patternFill>
                  <bgColor indexed="10"/>
                </patternFill>
              </fill>
            </x14:dxf>
          </x14:cfRule>
          <xm:sqref>AE350</xm:sqref>
        </x14:conditionalFormatting>
        <x14:conditionalFormatting xmlns:xm="http://schemas.microsoft.com/office/excel/2006/main">
          <x14:cfRule type="expression" priority="7742" id="{626AAE07-CB06-43EC-AF82-4BF3FCED3249}">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7743" stopIfTrue="1" id="{1E022B08-BA84-491D-9304-5C8990634B2F}">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7744" stopIfTrue="1" id="{47CB32AA-403A-4C04-A64B-A9151F08D50D}">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7739" id="{963D16B8-5035-4807-9735-E1478D378BC0}">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7740" stopIfTrue="1" id="{3C3BC837-B608-426A-B1EC-AC0F8A7288B2}">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7741" stopIfTrue="1" id="{D1DD5DD5-E4CB-44F9-A849-C14DF1BE0045}">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7736" id="{D4BBA563-86FD-40E0-858B-F1F535D466BD}">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7737" stopIfTrue="1" id="{04EE8B3C-1103-4BE2-B8E3-FFB484A6F15C}">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7738" stopIfTrue="1" id="{2A2594B5-15A5-4887-A1A2-43C8EA479D07}">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7733" id="{A52FED0A-502D-4D7C-9281-2D4E915F8817}">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7734" stopIfTrue="1" id="{B60C6CC4-8FE2-4876-A413-014559352DEE}">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7735" stopIfTrue="1" id="{B726E35B-84A0-4740-857D-EF5C0C3BF75C}">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7730" id="{CB0EFDC0-C584-4496-BCC2-7B6735AD3657}">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7731" stopIfTrue="1" id="{97E54A70-BC6B-4467-9E4C-33D320E336FC}">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7732" stopIfTrue="1" id="{3F95311B-D37A-46CD-B961-7C103A490135}">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7727" id="{520DAC72-66FD-491D-9BDB-9D31D2531D21}">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7728" stopIfTrue="1" id="{84593A07-F0EA-42B9-9684-1091459B31CF}">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7729" stopIfTrue="1" id="{42128122-F869-432F-B94F-0B396A0F36EF}">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7724" id="{EFC33EAE-E84C-478D-8A2C-555BE6174FC7}">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7725" stopIfTrue="1" id="{69E6FB14-D78B-45DA-94EC-1CC33512B363}">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7726" stopIfTrue="1" id="{7BA0F772-BF78-489E-A1A5-68C26EDEFCD2}">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7721" id="{76D5B2E2-22D2-4403-A67A-BD6D62604301}">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7722" stopIfTrue="1" id="{F9A89588-4EB8-44AC-B92E-B4D6F8FF14B0}">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7723" stopIfTrue="1" id="{8DD101F1-DAA0-43A5-827E-2953714C3C1A}">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7718" id="{DC0B189F-A9E1-4F47-97F2-5019F432700B}">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7719" stopIfTrue="1" id="{8066106F-C6D9-4E73-9138-769A7E2F2B8B}">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7720" stopIfTrue="1" id="{AEC53E95-91CC-43DB-ACB5-D3C420F0A321}">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7706" id="{EF6D0DE9-F2D7-4821-9272-21146AA19537}">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7707" stopIfTrue="1" id="{1FDE64DD-FF12-49C8-BA98-6FFD2A9DD818}">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7708" stopIfTrue="1" id="{A386E4BA-50BA-4CFB-8427-092CF8F998B7}">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7703" id="{27961E7E-D2D5-404D-8CC6-8BD71BB79AE4}">
            <xm:f>AND(IF(AE321&gt;'F:\Users\norela.briceno\Documents\Plan de acción\Plan Accion 2018\[Plan Accion Integrado ADRES Vigencia 2018 con Cuadro de Mando V6..xlsx]Plan de Accion 2018'!#REF!,AE321&lt;&gt;¨N/A¨))</xm:f>
            <x14:dxf>
              <fill>
                <patternFill>
                  <bgColor theme="1" tint="0.499984740745262"/>
                </patternFill>
              </fill>
            </x14:dxf>
          </x14:cfRule>
          <x14:cfRule type="expression" priority="7704" stopIfTrue="1" id="{2EA79C29-E0AD-446E-8CB4-456CBC9DDAC0}">
            <xm:f>AND(IF(AE321='F:\Users\norela.briceno\Documents\Plan de acción\Plan Accion 2018\[Plan Accion Integrado ADRES Vigencia 2018 con Cuadro de Mando V6..xlsx]Plan de Accion 2018'!#REF!,AE321&lt;&gt;"N/A"))</xm:f>
            <x14:dxf>
              <fill>
                <patternFill>
                  <bgColor rgb="FF00B050"/>
                </patternFill>
              </fill>
            </x14:dxf>
          </x14:cfRule>
          <x14:cfRule type="expression" priority="7705" stopIfTrue="1" id="{C605A455-EBC7-4201-ADCF-DF0740E9B1D7}">
            <xm:f>AND(IF(AE321&lt;'F:\Users\norela.briceno\Documents\Plan de acción\Plan Accion 2018\[Plan Accion Integrado ADRES Vigencia 2018 con Cuadro de Mando V6..xlsx]Plan de Accion 2018'!#REF!,AE321&lt;&gt;"N/A"))</xm:f>
            <x14:dxf>
              <fill>
                <patternFill>
                  <bgColor indexed="10"/>
                </patternFill>
              </fill>
            </x14:dxf>
          </x14:cfRule>
          <xm:sqref>AE321</xm:sqref>
        </x14:conditionalFormatting>
        <x14:conditionalFormatting xmlns:xm="http://schemas.microsoft.com/office/excel/2006/main">
          <x14:cfRule type="expression" priority="7694" id="{0E876E9E-605A-473E-88DB-62510B60C1BA}">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7695" stopIfTrue="1" id="{95CC18A7-5AF7-4A90-A0E5-D98220DAC070}">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7696" stopIfTrue="1" id="{3DF96256-273D-4A99-BDE5-E276D458A1B5}">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7691" id="{57453E5B-7009-4E0C-A7E0-540FA281024E}">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7692" stopIfTrue="1" id="{C09C1E91-C67D-494D-A67F-5FC6A3DCF572}">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7693" stopIfTrue="1" id="{04473938-666F-457C-90E7-EC44DB6D6565}">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7688" id="{A76E8C1E-7C24-4A40-A474-D7F88D9E3092}">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7689" stopIfTrue="1" id="{5EC4F279-85A0-4694-80BA-70EA9E3300C4}">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7690" stopIfTrue="1" id="{E1678F9E-77CA-464F-965E-3F29A84FB46B}">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7685" id="{A9EC1B23-32BA-4D26-84B0-0BED98BB2139}">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7686" stopIfTrue="1" id="{2F40A9BA-801A-4999-98FC-369B9FA337B5}">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7687" stopIfTrue="1" id="{D7EC0176-7790-47A2-8F7D-5EF222803F84}">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7682" id="{91CE974F-9B97-4028-A185-7837776309B0}">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7683" stopIfTrue="1" id="{287C9726-049F-455D-97E8-715D2DDC0A5B}">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7684" stopIfTrue="1" id="{F218F980-F77F-493A-8275-AC32C50CA0A5}">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7679" id="{8FAFB3D3-21E8-4C91-9DBA-8064937B575F}">
            <xm:f>AND(IF(AE309&gt;'F:\Users\norela.briceno\Documents\Plan de acción\Plan Accion 2018\[Plan Accion Integrado ADRES Vigencia 2018 con Cuadro de Mando V6..xlsx]Plan de Accion 2018'!#REF!,AE309&lt;&gt;¨N/A¨))</xm:f>
            <x14:dxf>
              <fill>
                <patternFill>
                  <bgColor theme="1" tint="0.499984740745262"/>
                </patternFill>
              </fill>
            </x14:dxf>
          </x14:cfRule>
          <x14:cfRule type="expression" priority="7680" stopIfTrue="1" id="{AE920E4D-374A-4F9E-B529-66FB44CCE722}">
            <xm:f>AND(IF(AE309='F:\Users\norela.briceno\Documents\Plan de acción\Plan Accion 2018\[Plan Accion Integrado ADRES Vigencia 2018 con Cuadro de Mando V6..xlsx]Plan de Accion 2018'!#REF!,AE309&lt;&gt;"N/A"))</xm:f>
            <x14:dxf>
              <fill>
                <patternFill>
                  <bgColor rgb="FF00B050"/>
                </patternFill>
              </fill>
            </x14:dxf>
          </x14:cfRule>
          <x14:cfRule type="expression" priority="7681" stopIfTrue="1" id="{4CC303F4-ECD8-4178-A2B8-317A37F90B90}">
            <xm:f>AND(IF(AE309&lt;'F:\Users\norela.briceno\Documents\Plan de acción\Plan Accion 2018\[Plan Accion Integrado ADRES Vigencia 2018 con Cuadro de Mando V6..xlsx]Plan de Accion 2018'!#REF!,AE309&lt;&gt;"N/A"))</xm:f>
            <x14:dxf>
              <fill>
                <patternFill>
                  <bgColor indexed="10"/>
                </patternFill>
              </fill>
            </x14:dxf>
          </x14:cfRule>
          <xm:sqref>AE309</xm:sqref>
        </x14:conditionalFormatting>
        <x14:conditionalFormatting xmlns:xm="http://schemas.microsoft.com/office/excel/2006/main">
          <x14:cfRule type="expression" priority="7676" id="{09C2ADFB-22E2-49DB-BC6C-AE555D34F05D}">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7677" stopIfTrue="1" id="{4C8411B6-CE7D-484A-A72C-A1E94A39835B}">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7678" stopIfTrue="1" id="{5018CC45-F89F-4D84-8C4C-943AE96FA55F}">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7673" id="{07720643-099B-4FF6-8694-4D979C261F3B}">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7674" stopIfTrue="1" id="{17B58746-6670-4EAC-A44B-D6EED0754B22}">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7675" stopIfTrue="1" id="{5EC371A8-4971-4C16-9552-8A988D2EB007}">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7670" id="{DFDA1C78-DBAA-496A-A02D-CEDFB31BC006}">
            <xm:f>AND(IF(AE305&gt;'F:\Users\norela.briceno\Documents\Plan de acción\Plan Accion 2018\[Plan Accion Integrado ADRES Vigencia 2018 con Cuadro de Mando V6..xlsx]Plan de Accion 2018'!#REF!,AE305&lt;&gt;¨N/A¨))</xm:f>
            <x14:dxf>
              <fill>
                <patternFill>
                  <bgColor theme="1" tint="0.499984740745262"/>
                </patternFill>
              </fill>
            </x14:dxf>
          </x14:cfRule>
          <x14:cfRule type="expression" priority="7671" stopIfTrue="1" id="{CAE3B717-A80C-4658-A496-CC015C0D02CB}">
            <xm:f>AND(IF(AE305='F:\Users\norela.briceno\Documents\Plan de acción\Plan Accion 2018\[Plan Accion Integrado ADRES Vigencia 2018 con Cuadro de Mando V6..xlsx]Plan de Accion 2018'!#REF!,AE305&lt;&gt;"N/A"))</xm:f>
            <x14:dxf>
              <fill>
                <patternFill>
                  <bgColor rgb="FF00B050"/>
                </patternFill>
              </fill>
            </x14:dxf>
          </x14:cfRule>
          <x14:cfRule type="expression" priority="7672" stopIfTrue="1" id="{D662A534-6794-4414-8BB4-847E4E11470E}">
            <xm:f>AND(IF(AE305&lt;'F:\Users\norela.briceno\Documents\Plan de acción\Plan Accion 2018\[Plan Accion Integrado ADRES Vigencia 2018 con Cuadro de Mando V6..xlsx]Plan de Accion 2018'!#REF!,AE305&lt;&gt;"N/A"))</xm:f>
            <x14:dxf>
              <fill>
                <patternFill>
                  <bgColor indexed="10"/>
                </patternFill>
              </fill>
            </x14:dxf>
          </x14:cfRule>
          <xm:sqref>AE305</xm:sqref>
        </x14:conditionalFormatting>
        <x14:conditionalFormatting xmlns:xm="http://schemas.microsoft.com/office/excel/2006/main">
          <x14:cfRule type="expression" priority="7664" id="{DC4F388D-98C9-4C56-AAD0-D2D02864BE76}">
            <xm:f>AND(IF(AE301&gt;'F:\Users\norela.briceno\Documents\Plan de acción\Plan Accion 2018\[Plan Accion Integrado ADRES Vigencia 2018 con Cuadro de Mando V6..xlsx]Plan de Accion 2018'!#REF!,AE301&lt;&gt;¨N/A¨))</xm:f>
            <x14:dxf>
              <fill>
                <patternFill>
                  <bgColor theme="1" tint="0.499984740745262"/>
                </patternFill>
              </fill>
            </x14:dxf>
          </x14:cfRule>
          <x14:cfRule type="expression" priority="7665" stopIfTrue="1" id="{5A940AE0-BF0C-4917-99B8-D0510363A0FF}">
            <xm:f>AND(IF(AE301='F:\Users\norela.briceno\Documents\Plan de acción\Plan Accion 2018\[Plan Accion Integrado ADRES Vigencia 2018 con Cuadro de Mando V6..xlsx]Plan de Accion 2018'!#REF!,AE301&lt;&gt;"N/A"))</xm:f>
            <x14:dxf>
              <fill>
                <patternFill>
                  <bgColor rgb="FF00B050"/>
                </patternFill>
              </fill>
            </x14:dxf>
          </x14:cfRule>
          <x14:cfRule type="expression" priority="7666" stopIfTrue="1" id="{8FDE0A0F-2F18-4BB5-ADFA-FD670070B235}">
            <xm:f>AND(IF(AE301&lt;'F:\Users\norela.briceno\Documents\Plan de acción\Plan Accion 2018\[Plan Accion Integrado ADRES Vigencia 2018 con Cuadro de Mando V6..xlsx]Plan de Accion 2018'!#REF!,AE301&lt;&gt;"N/A"))</xm:f>
            <x14:dxf>
              <fill>
                <patternFill>
                  <bgColor indexed="10"/>
                </patternFill>
              </fill>
            </x14:dxf>
          </x14:cfRule>
          <xm:sqref>AE301</xm:sqref>
        </x14:conditionalFormatting>
        <x14:conditionalFormatting xmlns:xm="http://schemas.microsoft.com/office/excel/2006/main">
          <x14:cfRule type="expression" priority="7661" id="{1740B5C5-9F90-42DB-AAD2-9A764985B544}">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7662" stopIfTrue="1" id="{2EC59945-B7EB-4B28-98B4-2D5ADAED94D2}">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7663" stopIfTrue="1" id="{EFF70493-3E39-4164-98F2-96FB3E9448DB}">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7658" id="{FA9FE018-C915-4292-97F4-55FFB1DE4021}">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7659" stopIfTrue="1" id="{94A6F6B2-1687-496A-9C90-ED61BE78C9C3}">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7660" stopIfTrue="1" id="{DD6C0072-27FD-4B93-8792-E0A706D8DFCF}">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7655" id="{8401464E-B838-4C21-A231-C9BE97E42FA7}">
            <xm:f>AND(IF(AE297&gt;'F:\Users\norela.briceno\Documents\Plan de acción\Plan Accion 2018\[Plan Accion Integrado ADRES Vigencia 2018 con Cuadro de Mando V6..xlsx]Plan de Accion 2018'!#REF!,AE297&lt;&gt;¨N/A¨))</xm:f>
            <x14:dxf>
              <fill>
                <patternFill>
                  <bgColor theme="1" tint="0.499984740745262"/>
                </patternFill>
              </fill>
            </x14:dxf>
          </x14:cfRule>
          <x14:cfRule type="expression" priority="7656" stopIfTrue="1" id="{CA013279-4108-4B52-BB77-5B558F98F56D}">
            <xm:f>AND(IF(AE297='F:\Users\norela.briceno\Documents\Plan de acción\Plan Accion 2018\[Plan Accion Integrado ADRES Vigencia 2018 con Cuadro de Mando V6..xlsx]Plan de Accion 2018'!#REF!,AE297&lt;&gt;"N/A"))</xm:f>
            <x14:dxf>
              <fill>
                <patternFill>
                  <bgColor rgb="FF00B050"/>
                </patternFill>
              </fill>
            </x14:dxf>
          </x14:cfRule>
          <x14:cfRule type="expression" priority="7657" stopIfTrue="1" id="{7B3B5FCB-F61D-4FD6-8AA2-ADF26AC730F2}">
            <xm:f>AND(IF(AE297&lt;'F:\Users\norela.briceno\Documents\Plan de acción\Plan Accion 2018\[Plan Accion Integrado ADRES Vigencia 2018 con Cuadro de Mando V6..xlsx]Plan de Accion 2018'!#REF!,AE297&lt;&gt;"N/A"))</xm:f>
            <x14:dxf>
              <fill>
                <patternFill>
                  <bgColor indexed="10"/>
                </patternFill>
              </fill>
            </x14:dxf>
          </x14:cfRule>
          <xm:sqref>AE297</xm:sqref>
        </x14:conditionalFormatting>
        <x14:conditionalFormatting xmlns:xm="http://schemas.microsoft.com/office/excel/2006/main">
          <x14:cfRule type="expression" priority="7652" id="{31F75AC6-3367-4518-B427-9D01C1E8EFDB}">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7653" stopIfTrue="1" id="{4BABB27F-5BFD-423A-9F98-3BF0B63CCF5C}">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7654" stopIfTrue="1" id="{DB437727-3216-43D5-B17C-D02A65888FF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7649" id="{42E95F42-C894-4C72-9CF5-F61A85D7D510}">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7650" stopIfTrue="1" id="{E1EEBB83-DD77-45F1-B1BF-1A121A36EE9F}">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7651" stopIfTrue="1" id="{BBC2DAF0-E398-4A86-8968-416E97909E30}">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7646" id="{4457E1AC-F74E-479F-A7EF-8B9C32F49426}">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7647" stopIfTrue="1" id="{DBF395F6-F36E-4097-87E6-3DCC0E4F6AA7}">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7648" stopIfTrue="1" id="{5B272B91-4339-41FA-A447-9D1D8DCC51C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7643" id="{F56E2422-C099-4CD6-A9CE-EE1E9A2DC248}">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7644" stopIfTrue="1" id="{7038D0B1-95D7-4C3D-AFC3-5EB2A44E3512}">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7645" stopIfTrue="1" id="{BB0B57B6-EAFB-4A59-B64E-F7A45F1FBD36}">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640" id="{05AC99D1-A095-4C1E-A976-E1173F5BB00C}">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7641" stopIfTrue="1" id="{1CE5408B-0D56-4EDE-BCD9-81952F1125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7642" stopIfTrue="1" id="{EA0E26B0-54A7-49D3-86CA-0C19E6129362}">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7637" id="{BC49D2F4-5D6F-480A-8D0A-29CA9555ACBF}">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7638" stopIfTrue="1" id="{41E870BC-AD4A-489D-8C0E-667D58A4200C}">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7639" stopIfTrue="1" id="{7454B5D8-3F7E-43E7-B1A5-771CA9D3E280}">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7634" id="{BBB6AECA-4271-44FA-AFF6-0A914C6AA4C8}">
            <xm:f>AND(IF(AE281&gt;'F:\Users\norela.briceno\Documents\Plan de acción\Plan Accion 2018\[Plan Accion Integrado ADRES Vigencia 2018 con Cuadro de Mando V6..xlsx]Plan de Accion 2018'!#REF!,AE281&lt;&gt;¨N/A¨))</xm:f>
            <x14:dxf>
              <fill>
                <patternFill>
                  <bgColor theme="1" tint="0.499984740745262"/>
                </patternFill>
              </fill>
            </x14:dxf>
          </x14:cfRule>
          <x14:cfRule type="expression" priority="7635" stopIfTrue="1" id="{86271A0F-CCAA-49E4-9034-1B2A242D6B07}">
            <xm:f>AND(IF(AE281='F:\Users\norela.briceno\Documents\Plan de acción\Plan Accion 2018\[Plan Accion Integrado ADRES Vigencia 2018 con Cuadro de Mando V6..xlsx]Plan de Accion 2018'!#REF!,AE281&lt;&gt;"N/A"))</xm:f>
            <x14:dxf>
              <fill>
                <patternFill>
                  <bgColor rgb="FF00B050"/>
                </patternFill>
              </fill>
            </x14:dxf>
          </x14:cfRule>
          <x14:cfRule type="expression" priority="7636" stopIfTrue="1" id="{8E518EE7-2652-46F5-8A39-46E9BDCBF599}">
            <xm:f>AND(IF(AE281&lt;'F:\Users\norela.briceno\Documents\Plan de acción\Plan Accion 2018\[Plan Accion Integrado ADRES Vigencia 2018 con Cuadro de Mando V6..xlsx]Plan de Accion 2018'!#REF!,AE281&lt;&gt;"N/A"))</xm:f>
            <x14:dxf>
              <fill>
                <patternFill>
                  <bgColor indexed="10"/>
                </patternFill>
              </fill>
            </x14:dxf>
          </x14:cfRule>
          <xm:sqref>AE281</xm:sqref>
        </x14:conditionalFormatting>
        <x14:conditionalFormatting xmlns:xm="http://schemas.microsoft.com/office/excel/2006/main">
          <x14:cfRule type="expression" priority="7631" id="{9E2D4E4F-B718-42CC-9D50-D13AEFD2DCD0}">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7632" stopIfTrue="1" id="{3C46F653-A01B-4E2A-A840-8147AFF49C8A}">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7633" stopIfTrue="1" id="{C2AB9964-EB24-40A6-9E36-9CCE2CDAB924}">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7628" id="{5D410DC7-2499-498D-AF4C-28D2C801D5B7}">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7629" stopIfTrue="1" id="{4120FE5E-E26A-4363-9669-43D25D2E588D}">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7630" stopIfTrue="1" id="{D440F070-B398-452B-8C2F-F0B4021F6AD2}">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7625" id="{45AA729E-DF22-4843-963A-386C7A8B80C3}">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7626" stopIfTrue="1" id="{5B4E026F-FF28-4E02-A38F-46A7E5FAC68F}">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7627" stopIfTrue="1" id="{6FB16ED5-B027-42BA-A4C5-0145495BFD43}">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7622" id="{4DBADC6D-4362-40C6-ABE2-B744343A4CCA}">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7623" stopIfTrue="1" id="{37911CE6-D5FB-4118-AEAE-C0439ADADA70}">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7624" stopIfTrue="1" id="{417761B7-1A95-4E40-8227-ECC6021B9C46}">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7619" id="{FA12B589-978C-4FFD-92CF-DC7EBA705D5F}">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7620" stopIfTrue="1" id="{4C5E561A-786A-49C0-8EA7-6ABBED79DD21}">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7621" stopIfTrue="1" id="{401C5FB4-D04F-460F-B451-35AE9852EC63}">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7616" id="{FED0B0AB-125B-40E0-A624-FDD1892022D8}">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7617" stopIfTrue="1" id="{466A001C-EC1A-4572-BA83-3AACCEE3FE60}">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7618" stopIfTrue="1" id="{F648779D-FD28-4305-8BE0-1EB418A5031E}">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7613" id="{3C3FB487-065B-4A5B-BB7E-BBADEEB778C1}">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7614" stopIfTrue="1" id="{4AFC5DED-B564-4D7A-9561-6811EFAA303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7615" stopIfTrue="1" id="{963F346B-FDE8-4F08-B3C5-032B4B8347FE}">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7610" id="{3C4A4790-8545-4612-BA83-A496DAD3B3C4}">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7611" stopIfTrue="1" id="{A671419C-E632-44E6-AC5C-122E4B5691E8}">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7612" stopIfTrue="1" id="{304072BF-121F-4F97-92C7-6322C3152E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7607" id="{FBB68EBE-E64C-44E5-B561-D41678B95015}">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7608" stopIfTrue="1" id="{238700FA-4FD7-4F84-BD7D-C364FDE73DD8}">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7609" stopIfTrue="1" id="{5FEA3D9A-308B-4205-A299-C9A296B49E05}">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7604" id="{6EF972A0-5F0A-452B-B1C2-ACAF5CBD36BA}">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7605" stopIfTrue="1" id="{944534D5-4040-4284-BECA-0473C1CF0300}">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7606" stopIfTrue="1" id="{2285FA45-5B37-466A-92B9-E6964432F059}">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7562" id="{7755B08B-E5EE-43A0-AD16-6A8D345271BC}">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7563" stopIfTrue="1" id="{F4962D14-BB39-454F-83C9-8A2F45EB7131}">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7564" stopIfTrue="1" id="{5847BCF9-4538-4549-BCCC-5379914565B3}">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7598" id="{89E45651-21EF-45E0-AE81-39CB6B30C886}">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7599" stopIfTrue="1" id="{FF3CB142-1CAB-4F94-BA77-07FCD87CB445}">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7600" stopIfTrue="1" id="{10E0EB51-F132-4893-BBCC-83D2A482ACDB}">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7595" id="{B6DF4A78-D332-4AC0-9BC5-87F948D25F34}">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7596" stopIfTrue="1" id="{66494202-FE49-479A-88BE-8BF471848B7B}">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7597" stopIfTrue="1" id="{7F0AAA63-1BA0-476B-B3E7-962E8488B5B1}">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7592" id="{CDF46899-A5CB-4DAA-8756-34645A716040}">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7593" stopIfTrue="1" id="{4DB3C4D3-6E8B-432F-8220-AF76295C70EF}">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7594" stopIfTrue="1" id="{56E2CCF9-6A34-4654-BCEB-4D52FFCF8F5F}">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7589" id="{F9AECB66-C646-4138-8242-878A1D7BC661}">
            <xm:f>AND(IF(AE265&gt;'F:\Users\norela.briceno\Documents\Plan de acción\Plan Accion 2018\[Plan Accion Integrado ADRES Vigencia 2018 con Cuadro de Mando V6..xlsx]Plan de Accion 2018'!#REF!,AE265&lt;&gt;¨N/A¨))</xm:f>
            <x14:dxf>
              <fill>
                <patternFill>
                  <bgColor theme="1" tint="0.499984740745262"/>
                </patternFill>
              </fill>
            </x14:dxf>
          </x14:cfRule>
          <x14:cfRule type="expression" priority="7590" stopIfTrue="1" id="{C2A6A467-B74A-4468-8654-370CEF1495D3}">
            <xm:f>AND(IF(AE265='F:\Users\norela.briceno\Documents\Plan de acción\Plan Accion 2018\[Plan Accion Integrado ADRES Vigencia 2018 con Cuadro de Mando V6..xlsx]Plan de Accion 2018'!#REF!,AE265&lt;&gt;"N/A"))</xm:f>
            <x14:dxf>
              <fill>
                <patternFill>
                  <bgColor rgb="FF00B050"/>
                </patternFill>
              </fill>
            </x14:dxf>
          </x14:cfRule>
          <x14:cfRule type="expression" priority="7591" stopIfTrue="1" id="{FDAC4401-28AD-4E3E-8D4C-77E4073EF4A9}">
            <xm:f>AND(IF(AE265&lt;'F:\Users\norela.briceno\Documents\Plan de acción\Plan Accion 2018\[Plan Accion Integrado ADRES Vigencia 2018 con Cuadro de Mando V6..xlsx]Plan de Accion 2018'!#REF!,AE265&lt;&gt;"N/A"))</xm:f>
            <x14:dxf>
              <fill>
                <patternFill>
                  <bgColor indexed="10"/>
                </patternFill>
              </fill>
            </x14:dxf>
          </x14:cfRule>
          <xm:sqref>AE265</xm:sqref>
        </x14:conditionalFormatting>
        <x14:conditionalFormatting xmlns:xm="http://schemas.microsoft.com/office/excel/2006/main">
          <x14:cfRule type="expression" priority="7586" id="{CEA38792-973E-4C19-A9DE-17D7F7C6F6B5}">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7587" stopIfTrue="1" id="{05192EC0-EF58-4EA5-8484-E02C2D22FD48}">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7588" stopIfTrue="1" id="{93B45478-FE21-4C1C-A438-67CD4DBA6013}">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7583" id="{D5FA3996-9EA7-47B8-B496-45C0D97CBB0A}">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7584" stopIfTrue="1" id="{273EE5C0-6653-48B6-B333-A31339C8544E}">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7585" stopIfTrue="1" id="{88BA4C8C-DC28-4FAB-9422-1DFFA5C101F5}">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7580" id="{E83CF4FB-7795-4664-94A0-FBD7E8783C0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7581" stopIfTrue="1" id="{B79319A3-FC71-4174-85DF-73571E5BDB6C}">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7582" stopIfTrue="1" id="{42E89E8B-7FA2-4DBE-8D82-26B2FD8F5D4A}">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7577" id="{4560FE77-623F-484C-9D87-B791618579B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7578" stopIfTrue="1" id="{9A5CDBD2-8807-49EE-9316-5DD3F69AB74C}">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7579" stopIfTrue="1" id="{27A9D06A-D187-4C48-BDB2-6A3F2CADBD75}">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7574" id="{207D2BA8-853D-471F-97A8-42005B1916D8}">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7575" stopIfTrue="1" id="{B95EF6C6-AB34-4E71-B866-A5F76D88AFA8}">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7576" stopIfTrue="1" id="{56892E97-DAED-421D-ADDA-D0843B504E8C}">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7571" id="{6E297D7D-AF77-420E-99D0-ACB9CF2363B6}">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7572" stopIfTrue="1" id="{8271F085-3B8B-4CAC-8270-69B56C6BB7B7}">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7573" stopIfTrue="1" id="{F0BDD80B-ADCD-4B6F-A82F-811D0F2037A7}">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7568" id="{CF5FE116-DDA8-456C-A0D9-38FBD056D933}">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7569" stopIfTrue="1" id="{37F8B177-95C7-41F7-94B7-AB3F2A8B8FEA}">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7570" stopIfTrue="1" id="{8DB44372-2C6B-446C-920E-109E41A23F3E}">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7565" id="{6726961C-EF11-46D4-A55E-E9146480BC11}">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7566" stopIfTrue="1" id="{10BE95E2-2EA9-4141-A538-C272910DDDC3}">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7567" stopIfTrue="1" id="{B165C795-CEAE-4017-9F47-4DF4781B7284}">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7559" id="{217E64F8-B037-4D15-AE4C-1B03887FD515}">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7560" stopIfTrue="1" id="{64A72658-D323-4E96-998E-0E9FD7A0FCF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7561" stopIfTrue="1" id="{181BD79A-872A-490A-B2B3-CABF79B44264}">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7556" id="{7FF33C8E-D19F-4585-96EB-4550FD8AB3E3}">
            <xm:f>AND(IF(AE361&gt;'F:\Users\norela.briceno\Documents\Plan de acción\Plan Accion 2018\[Plan Accion Integrado ADRES Vigencia 2018 con Cuadro de Mando V6..xlsx]Plan de Accion 2018'!#REF!,AE361&lt;&gt;¨N/A¨))</xm:f>
            <x14:dxf>
              <fill>
                <patternFill>
                  <bgColor theme="1" tint="0.499984740745262"/>
                </patternFill>
              </fill>
            </x14:dxf>
          </x14:cfRule>
          <x14:cfRule type="expression" priority="7557" stopIfTrue="1" id="{A82C20F8-4218-418A-8B6C-4F613D21C380}">
            <xm:f>AND(IF(AE361='F:\Users\norela.briceno\Documents\Plan de acción\Plan Accion 2018\[Plan Accion Integrado ADRES Vigencia 2018 con Cuadro de Mando V6..xlsx]Plan de Accion 2018'!#REF!,AE361&lt;&gt;"N/A"))</xm:f>
            <x14:dxf>
              <fill>
                <patternFill>
                  <bgColor rgb="FF00B050"/>
                </patternFill>
              </fill>
            </x14:dxf>
          </x14:cfRule>
          <x14:cfRule type="expression" priority="7558" stopIfTrue="1" id="{D1FF7C73-FFC9-4F42-AD3D-A90777D1DF7B}">
            <xm:f>AND(IF(AE361&lt;'F:\Users\norela.briceno\Documents\Plan de acción\Plan Accion 2018\[Plan Accion Integrado ADRES Vigencia 2018 con Cuadro de Mando V6..xlsx]Plan de Accion 2018'!#REF!,AE361&lt;&gt;"N/A"))</xm:f>
            <x14:dxf>
              <fill>
                <patternFill>
                  <bgColor indexed="10"/>
                </patternFill>
              </fill>
            </x14:dxf>
          </x14:cfRule>
          <xm:sqref>AE361</xm:sqref>
        </x14:conditionalFormatting>
        <x14:conditionalFormatting xmlns:xm="http://schemas.microsoft.com/office/excel/2006/main">
          <x14:cfRule type="expression" priority="7553" id="{4323F5CA-DEF8-4D4C-9F13-3D9B505138F8}">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7554" stopIfTrue="1" id="{D7659B76-4554-4007-A82E-B26540C77A8B}">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7555" stopIfTrue="1" id="{BA4BF1D3-7F94-4AD4-8544-76825FE1FC7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7550" id="{20E4CAD4-C053-4496-BF86-B12317E42BF2}">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7551" stopIfTrue="1" id="{926492E0-4416-4DAD-AB39-4F5361BB5D37}">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7552" stopIfTrue="1" id="{33C58DE4-AC86-47E6-8343-55C72EA70CFF}">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7547" id="{1F1CB742-4140-4232-8E2B-6B0DFB7228E3}">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7548" stopIfTrue="1" id="{05A79FE2-3AB3-4D1D-B422-3CB91E5BCC5A}">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7549" stopIfTrue="1" id="{C72C1A87-4EE4-4EB2-A654-329055FAC2CB}">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7544" id="{82A73363-96EA-4CA1-8066-0244DBACC05D}">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7545" stopIfTrue="1" id="{48DB90EF-EF97-4E5B-AAB4-1D407EE05FF8}">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7546" stopIfTrue="1" id="{C091C791-E6ED-4A5D-A191-2ACCA4BBE6FA}">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7541" id="{B638FDF5-0744-497F-A374-1B52E4538CF3}">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7542" stopIfTrue="1" id="{E7441A8F-142B-4E46-8D88-45576A984517}">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7543" stopIfTrue="1" id="{2DF0BF7C-9CC6-457E-90C4-09F13796A330}">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7538" id="{1F15BEA9-7C62-496F-9133-0755713FCC21}">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7539" stopIfTrue="1" id="{B6C3D5A0-AD1E-4BAA-9E39-161EFADA369F}">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7540" stopIfTrue="1" id="{CEE7C26B-0A74-4223-9D7B-D6E05989DDB2}">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7535" id="{6FA0EB37-DF2E-423B-BB58-9A2F2E0BA366}">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7536" stopIfTrue="1" id="{A448216A-2B7D-4A98-BEA4-CA99B9C1B8BB}">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7537" stopIfTrue="1" id="{2A810AC1-1620-4074-87C9-EA5339A47004}">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7532" id="{70A7D77D-2DD5-417A-9A95-8703B589779B}">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7533" stopIfTrue="1" id="{EEF49855-D1AE-42C4-A0AF-0184693D12BF}">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7534" stopIfTrue="1" id="{924F2235-897E-4CB1-AFBF-EC4CC86E6F7E}">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7529" id="{A01D895A-D7CC-4551-A6E3-5025F8E39FA6}">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7530" stopIfTrue="1" id="{A8E87ABA-245D-407C-9C25-140CA9CC7F25}">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7531" stopIfTrue="1" id="{A83FA5A6-49C4-4B64-B15F-B27B08CE5ED2}">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7526" id="{F9A06B9C-E4E1-44F4-9F01-41E0F7970D01}">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7527" stopIfTrue="1" id="{0C132A0C-1F7A-4C86-A2D0-9BF600D4FF49}">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7528" stopIfTrue="1" id="{7E214820-7F5E-469C-910F-EF480B020705}">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7523" id="{4DBB7594-B223-485E-8070-76102B48A6AF}">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7524" stopIfTrue="1" id="{8F6D598B-CA15-48D3-B8FA-B3D9CB0CB9FB}">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7525" stopIfTrue="1" id="{38361D06-769C-42F4-B320-97F80606370D}">
            <xm:f>AND(IF(AE217&lt;'F:\Users\norela.briceno\Documents\Plan de acción\Plan Accion 2018\[Plan Accion Integrado ADRES Vigencia 2018 con Cuadro de Mando V6..xlsx]Plan de Accion 2018'!#REF!,AE217&lt;&gt;"N/A"))</xm:f>
            <x14:dxf>
              <fill>
                <patternFill>
                  <bgColor indexed="10"/>
                </patternFill>
              </fill>
            </x14:dxf>
          </x14:cfRule>
          <xm:sqref>AE217</xm:sqref>
        </x14:conditionalFormatting>
        <x14:conditionalFormatting xmlns:xm="http://schemas.microsoft.com/office/excel/2006/main">
          <x14:cfRule type="expression" priority="7520" id="{700A556B-2BBC-410C-B914-B5D7BFF18F1C}">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7521" stopIfTrue="1" id="{8216BCBD-51DA-4B49-B228-7866BEE0E99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7522" stopIfTrue="1" id="{D72216E0-27CB-4FE3-8437-EBCCD28CCABD}">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7517" id="{D6E909DA-5D99-41B1-89BC-BA5C3EF422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7518" stopIfTrue="1" id="{BDB6E3D2-87BE-4E5B-BB16-F5E6DFFC74BA}">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7519" stopIfTrue="1" id="{DACA5B81-DEE1-41F6-8861-A549CB85D7BA}">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7514" id="{461C2FCF-5233-4B5B-8FC1-4095BBD0C00E}">
            <xm:f>AND(IF(AE214&gt;'F:\Users\norela.briceno\Documents\Plan de acción\Plan Accion 2018\[Plan Accion Integrado ADRES Vigencia 2018 con Cuadro de Mando V6..xlsx]Plan de Accion 2018'!#REF!,AE214&lt;&gt;¨N/A¨))</xm:f>
            <x14:dxf>
              <fill>
                <patternFill>
                  <bgColor theme="1" tint="0.499984740745262"/>
                </patternFill>
              </fill>
            </x14:dxf>
          </x14:cfRule>
          <x14:cfRule type="expression" priority="7515" stopIfTrue="1" id="{971A2A8C-6345-4557-A01D-6049FBC916CE}">
            <xm:f>AND(IF(AE214='F:\Users\norela.briceno\Documents\Plan de acción\Plan Accion 2018\[Plan Accion Integrado ADRES Vigencia 2018 con Cuadro de Mando V6..xlsx]Plan de Accion 2018'!#REF!,AE214&lt;&gt;"N/A"))</xm:f>
            <x14:dxf>
              <fill>
                <patternFill>
                  <bgColor rgb="FF00B050"/>
                </patternFill>
              </fill>
            </x14:dxf>
          </x14:cfRule>
          <x14:cfRule type="expression" priority="7516" stopIfTrue="1" id="{A1752C03-D1A3-439E-A947-32AE538AE6CD}">
            <xm:f>AND(IF(AE214&lt;'F:\Users\norela.briceno\Documents\Plan de acción\Plan Accion 2018\[Plan Accion Integrado ADRES Vigencia 2018 con Cuadro de Mando V6..xlsx]Plan de Accion 2018'!#REF!,AE214&lt;&gt;"N/A"))</xm:f>
            <x14:dxf>
              <fill>
                <patternFill>
                  <bgColor indexed="10"/>
                </patternFill>
              </fill>
            </x14:dxf>
          </x14:cfRule>
          <xm:sqref>AE214</xm:sqref>
        </x14:conditionalFormatting>
        <x14:conditionalFormatting xmlns:xm="http://schemas.microsoft.com/office/excel/2006/main">
          <x14:cfRule type="expression" priority="7511" id="{CBB2C402-63BA-4F28-8819-0A9B179D9D16}">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7512" stopIfTrue="1" id="{FF314EBE-D04A-4C89-A69E-470045580144}">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7513" stopIfTrue="1" id="{5F56B1F1-B176-4ACF-AB4F-EBAE5CE318FB}">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7508" id="{A8E899CD-32CC-4C67-92DC-967102416F32}">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7509" stopIfTrue="1" id="{83E03AC0-6114-4CD8-AF83-FD65302BDAA8}">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7510" stopIfTrue="1" id="{1A5EAC61-EFD4-4F22-AC54-BA9DCF1C131D}">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7505" id="{733A2C0B-CC14-451E-88AD-4342D730856C}">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7506" stopIfTrue="1" id="{4D17816F-9444-4EF5-BBAD-E34FF1A71FD7}">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7507" stopIfTrue="1" id="{990CD048-B823-483E-A7B7-65432E163C06}">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7502" id="{5F10C782-8067-486D-8987-93529AFB757B}">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7503" stopIfTrue="1" id="{6619FFAF-8C50-4B91-8C0F-68C783D72039}">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7504" stopIfTrue="1" id="{429BCFFD-E161-465C-9672-EB3EBE78C914}">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7499" id="{ADA25DAC-DCB9-46AF-B25E-3F5746C644B4}">
            <xm:f>AND(IF(AE203&gt;'F:\Users\norela.briceno\Documents\Plan de acción\Plan Accion 2018\[Plan Accion Integrado ADRES Vigencia 2018 con Cuadro de Mando V6..xlsx]Plan de Accion 2018'!#REF!,AE203&lt;&gt;¨N/A¨))</xm:f>
            <x14:dxf>
              <fill>
                <patternFill>
                  <bgColor theme="1" tint="0.499984740745262"/>
                </patternFill>
              </fill>
            </x14:dxf>
          </x14:cfRule>
          <x14:cfRule type="expression" priority="7500" stopIfTrue="1" id="{326B173E-73E5-4E41-8ED8-254479543F03}">
            <xm:f>AND(IF(AE203='F:\Users\norela.briceno\Documents\Plan de acción\Plan Accion 2018\[Plan Accion Integrado ADRES Vigencia 2018 con Cuadro de Mando V6..xlsx]Plan de Accion 2018'!#REF!,AE203&lt;&gt;"N/A"))</xm:f>
            <x14:dxf>
              <fill>
                <patternFill>
                  <bgColor rgb="FF00B050"/>
                </patternFill>
              </fill>
            </x14:dxf>
          </x14:cfRule>
          <x14:cfRule type="expression" priority="7501" stopIfTrue="1" id="{33B6650B-9EF2-4556-A818-A2EC7F699288}">
            <xm:f>AND(IF(AE203&lt;'F:\Users\norela.briceno\Documents\Plan de acción\Plan Accion 2018\[Plan Accion Integrado ADRES Vigencia 2018 con Cuadro de Mando V6..xlsx]Plan de Accion 2018'!#REF!,AE203&lt;&gt;"N/A"))</xm:f>
            <x14:dxf>
              <fill>
                <patternFill>
                  <bgColor indexed="10"/>
                </patternFill>
              </fill>
            </x14:dxf>
          </x14:cfRule>
          <xm:sqref>AE203</xm:sqref>
        </x14:conditionalFormatting>
        <x14:conditionalFormatting xmlns:xm="http://schemas.microsoft.com/office/excel/2006/main">
          <x14:cfRule type="expression" priority="7496" id="{9B8FEE61-7C9C-470C-AAE4-7387E4341BCD}">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7497" stopIfTrue="1" id="{83C8D59E-6297-44EC-BDBA-5D3DF3025660}">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7498" stopIfTrue="1" id="{66996DB2-5188-4690-ABEC-CC9F4FA1C52C}">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7493" id="{28D13DBD-E4CB-470A-86BF-9F7C7F892DA0}">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7494" stopIfTrue="1" id="{F36FD939-6680-46A9-9067-DADD53B6DF93}">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7495" stopIfTrue="1" id="{5B245B57-552A-4942-9592-0F3AACAC1A28}">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7490" id="{063D1373-65A3-41E2-B06D-F427BA8F9E4A}">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7491" stopIfTrue="1" id="{C43D929D-C08E-4150-9D02-4ACA0FE65F13}">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7492" stopIfTrue="1" id="{CD8579B6-4598-4A6E-9C62-8548CF3A53B5}">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7487" id="{5A6E2BD2-8404-4371-8288-F7F37D6CD2AB}">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7488" stopIfTrue="1" id="{D49CE7CB-8400-4EBF-A90B-3106ED3E1DD0}">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7489" stopIfTrue="1" id="{85C28010-0957-4004-A5D4-C456DBD691F1}">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7484" id="{A58D8DEA-AC85-48EB-83DB-BF83C0C5ED7C}">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7485" stopIfTrue="1" id="{86796F7C-56DC-4C43-B5E4-31028FE599FA}">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7486" stopIfTrue="1" id="{F7E1C00D-8EA5-4E64-A3A3-E9DDCAACFDDC}">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7481" id="{3117ACD1-10D9-461D-96D7-2BAF78992F2D}">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7482" stopIfTrue="1" id="{1339D56E-6BE5-45CC-B0F3-61527752E775}">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7483" stopIfTrue="1" id="{BBE0C286-D864-4E00-BA3D-50CB6D869D52}">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7478" id="{741B5401-3443-4099-B4A1-93FBF7B0F41D}">
            <xm:f>AND(IF(AE192&gt;'F:\Users\norela.briceno\Documents\Plan de acción\Plan Accion 2018\[Plan Accion Integrado ADRES Vigencia 2018 con Cuadro de Mando V6..xlsx]Plan de Accion 2018'!#REF!,AE192&lt;&gt;¨N/A¨))</xm:f>
            <x14:dxf>
              <fill>
                <patternFill>
                  <bgColor theme="1" tint="0.499984740745262"/>
                </patternFill>
              </fill>
            </x14:dxf>
          </x14:cfRule>
          <x14:cfRule type="expression" priority="7479" stopIfTrue="1" id="{D92D6867-EF2F-4016-A08E-1B903E270DA7}">
            <xm:f>AND(IF(AE192='F:\Users\norela.briceno\Documents\Plan de acción\Plan Accion 2018\[Plan Accion Integrado ADRES Vigencia 2018 con Cuadro de Mando V6..xlsx]Plan de Accion 2018'!#REF!,AE192&lt;&gt;"N/A"))</xm:f>
            <x14:dxf>
              <fill>
                <patternFill>
                  <bgColor rgb="FF00B050"/>
                </patternFill>
              </fill>
            </x14:dxf>
          </x14:cfRule>
          <x14:cfRule type="expression" priority="7480" stopIfTrue="1" id="{4E4BC654-F34E-4882-B9C8-D8C72A450A16}">
            <xm:f>AND(IF(AE192&lt;'F:\Users\norela.briceno\Documents\Plan de acción\Plan Accion 2018\[Plan Accion Integrado ADRES Vigencia 2018 con Cuadro de Mando V6..xlsx]Plan de Accion 2018'!#REF!,AE192&lt;&gt;"N/A"))</xm:f>
            <x14:dxf>
              <fill>
                <patternFill>
                  <bgColor indexed="10"/>
                </patternFill>
              </fill>
            </x14:dxf>
          </x14:cfRule>
          <xm:sqref>AE192</xm:sqref>
        </x14:conditionalFormatting>
        <x14:conditionalFormatting xmlns:xm="http://schemas.microsoft.com/office/excel/2006/main">
          <x14:cfRule type="expression" priority="7475" id="{56C311D9-114C-4468-B68A-A587D2ED777F}">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7476" stopIfTrue="1" id="{62851354-132E-49F4-A153-E91F5DF2537D}">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7477" stopIfTrue="1" id="{56C8E85F-A6BD-4BCA-9723-ADCE56B782F7}">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7472" id="{7CE3B091-16A4-4C5C-B3F7-A18CD7D5E224}">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7473" stopIfTrue="1" id="{9B7E0DB4-3EB6-4FE3-A886-26066EE4A9AE}">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7474" stopIfTrue="1" id="{E480D4DE-80EF-463F-9D6E-009DA42A8BE6}">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7469" id="{9F705BD6-D3D1-437B-A350-6224EBE9EEFD}">
            <xm:f>AND(IF(AE182&gt;'F:\Users\norela.briceno\Documents\Plan de acción\Plan Accion 2018\[Plan Accion Integrado ADRES Vigencia 2018 con Cuadro de Mando V6..xlsx]Plan de Accion 2018'!#REF!,AE182&lt;&gt;¨N/A¨))</xm:f>
            <x14:dxf>
              <fill>
                <patternFill>
                  <bgColor theme="1" tint="0.499984740745262"/>
                </patternFill>
              </fill>
            </x14:dxf>
          </x14:cfRule>
          <x14:cfRule type="expression" priority="7470" stopIfTrue="1" id="{17DFEA55-3CEA-47FC-BBC5-24A9A958AECE}">
            <xm:f>AND(IF(AE182='F:\Users\norela.briceno\Documents\Plan de acción\Plan Accion 2018\[Plan Accion Integrado ADRES Vigencia 2018 con Cuadro de Mando V6..xlsx]Plan de Accion 2018'!#REF!,AE182&lt;&gt;"N/A"))</xm:f>
            <x14:dxf>
              <fill>
                <patternFill>
                  <bgColor rgb="FF00B050"/>
                </patternFill>
              </fill>
            </x14:dxf>
          </x14:cfRule>
          <x14:cfRule type="expression" priority="7471" stopIfTrue="1" id="{6826C526-7777-4FB5-9E6E-4C5A047A4360}">
            <xm:f>AND(IF(AE182&lt;'F:\Users\norela.briceno\Documents\Plan de acción\Plan Accion 2018\[Plan Accion Integrado ADRES Vigencia 2018 con Cuadro de Mando V6..xlsx]Plan de Accion 2018'!#REF!,AE182&lt;&gt;"N/A"))</xm:f>
            <x14:dxf>
              <fill>
                <patternFill>
                  <bgColor indexed="10"/>
                </patternFill>
              </fill>
            </x14:dxf>
          </x14:cfRule>
          <xm:sqref>AE182</xm:sqref>
        </x14:conditionalFormatting>
        <x14:conditionalFormatting xmlns:xm="http://schemas.microsoft.com/office/excel/2006/main">
          <x14:cfRule type="expression" priority="7466" id="{C3912647-B9C1-4B25-BA9C-4220E8C08073}">
            <xm:f>AND(IF(AE181&gt;'F:\Users\norela.briceno\Documents\Plan de acción\Plan Accion 2018\[Plan Accion Integrado ADRES Vigencia 2018 con Cuadro de Mando V6..xlsx]Plan de Accion 2018'!#REF!,AE181&lt;&gt;¨N/A¨))</xm:f>
            <x14:dxf>
              <fill>
                <patternFill>
                  <bgColor theme="1" tint="0.499984740745262"/>
                </patternFill>
              </fill>
            </x14:dxf>
          </x14:cfRule>
          <x14:cfRule type="expression" priority="7467" stopIfTrue="1" id="{F2ACF522-50EA-455C-912C-0D87A58E5E6D}">
            <xm:f>AND(IF(AE181='F:\Users\norela.briceno\Documents\Plan de acción\Plan Accion 2018\[Plan Accion Integrado ADRES Vigencia 2018 con Cuadro de Mando V6..xlsx]Plan de Accion 2018'!#REF!,AE181&lt;&gt;"N/A"))</xm:f>
            <x14:dxf>
              <fill>
                <patternFill>
                  <bgColor rgb="FF00B050"/>
                </patternFill>
              </fill>
            </x14:dxf>
          </x14:cfRule>
          <x14:cfRule type="expression" priority="7468" stopIfTrue="1" id="{D49C2A8F-A31E-4047-8A9B-27C1385BC3E2}">
            <xm:f>AND(IF(AE181&lt;'F:\Users\norela.briceno\Documents\Plan de acción\Plan Accion 2018\[Plan Accion Integrado ADRES Vigencia 2018 con Cuadro de Mando V6..xlsx]Plan de Accion 2018'!#REF!,AE181&lt;&gt;"N/A"))</xm:f>
            <x14:dxf>
              <fill>
                <patternFill>
                  <bgColor indexed="10"/>
                </patternFill>
              </fill>
            </x14:dxf>
          </x14:cfRule>
          <xm:sqref>AE181</xm:sqref>
        </x14:conditionalFormatting>
        <x14:conditionalFormatting xmlns:xm="http://schemas.microsoft.com/office/excel/2006/main">
          <x14:cfRule type="expression" priority="7463" id="{E32EDDB5-350F-4AD8-B5EC-A20CDB5685FA}">
            <xm:f>AND(IF(AE179&gt;'F:\Users\norela.briceno\Documents\Plan de acción\Plan Accion 2018\[Plan Accion Integrado ADRES Vigencia 2018 con Cuadro de Mando V6..xlsx]Plan de Accion 2018'!#REF!,AE179&lt;&gt;¨N/A¨))</xm:f>
            <x14:dxf>
              <fill>
                <patternFill>
                  <bgColor theme="1" tint="0.499984740745262"/>
                </patternFill>
              </fill>
            </x14:dxf>
          </x14:cfRule>
          <x14:cfRule type="expression" priority="7464" stopIfTrue="1" id="{ED1D1671-88E1-4203-B814-A25298F85FF1}">
            <xm:f>AND(IF(AE179='F:\Users\norela.briceno\Documents\Plan de acción\Plan Accion 2018\[Plan Accion Integrado ADRES Vigencia 2018 con Cuadro de Mando V6..xlsx]Plan de Accion 2018'!#REF!,AE179&lt;&gt;"N/A"))</xm:f>
            <x14:dxf>
              <fill>
                <patternFill>
                  <bgColor rgb="FF00B050"/>
                </patternFill>
              </fill>
            </x14:dxf>
          </x14:cfRule>
          <x14:cfRule type="expression" priority="7465" stopIfTrue="1" id="{147A696F-EEA6-430E-B7C2-0185758C60C0}">
            <xm:f>AND(IF(AE179&lt;'F:\Users\norela.briceno\Documents\Plan de acción\Plan Accion 2018\[Plan Accion Integrado ADRES Vigencia 2018 con Cuadro de Mando V6..xlsx]Plan de Accion 2018'!#REF!,AE179&lt;&gt;"N/A"))</xm:f>
            <x14:dxf>
              <fill>
                <patternFill>
                  <bgColor indexed="10"/>
                </patternFill>
              </fill>
            </x14:dxf>
          </x14:cfRule>
          <xm:sqref>AE179</xm:sqref>
        </x14:conditionalFormatting>
        <x14:conditionalFormatting xmlns:xm="http://schemas.microsoft.com/office/excel/2006/main">
          <x14:cfRule type="expression" priority="7460" id="{F4333865-95DA-4EF7-B4BA-27E1EC710E23}">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7461" stopIfTrue="1" id="{32602091-C862-441B-9C6E-C6867BF2BF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7462" stopIfTrue="1" id="{674761A8-35DE-42A5-8201-79A0C8492B7F}">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7457" id="{1D6AD485-9090-4FCA-AEBC-0836FF67886F}">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7458" stopIfTrue="1" id="{E60BFA2A-89F5-4ED9-96A8-94935C0B69E5}">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7459" stopIfTrue="1" id="{A7CEB905-2E2D-4AA7-9CF5-D57A90F569B5}">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7454" id="{D21A8BA8-556F-4845-8AB3-8CA317FD6DA1}">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7455" stopIfTrue="1" id="{FD5D219C-06D0-4ACF-87A6-C428FC91A3BE}">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7456" stopIfTrue="1" id="{CEBA417A-060A-497C-BE5A-F2E26A0D4847}">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7451" id="{9AAF518D-3C6E-4904-B08A-495237D8B667}">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7452" stopIfTrue="1" id="{1CF16D6A-8285-4035-BFC9-C03F0CAA3599}">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7453" stopIfTrue="1" id="{8DDC8C16-E87A-4D23-B8D6-B8A2FF885FBA}">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7442" id="{74A8A1AE-D629-49E0-885A-601B4DA33AD6}">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7443" stopIfTrue="1" id="{DAE33AE1-BB36-4801-8225-BFB331C94770}">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7444" stopIfTrue="1" id="{6C71D013-FF87-4B1A-8F6A-63DB5671DF83}">
            <xm:f>AND(IF(AE161&lt;'F:\Users\norela.briceno\Documents\Plan de acción\Plan Accion 2018\[Plan Accion Integrado ADRES Vigencia 2018 con Cuadro de Mando V6..xlsx]Plan de Accion 2018'!#REF!,AE161&lt;&gt;"N/A"))</xm:f>
            <x14:dxf>
              <fill>
                <patternFill>
                  <bgColor indexed="10"/>
                </patternFill>
              </fill>
            </x14:dxf>
          </x14:cfRule>
          <xm:sqref>AE161</xm:sqref>
        </x14:conditionalFormatting>
        <x14:conditionalFormatting xmlns:xm="http://schemas.microsoft.com/office/excel/2006/main">
          <x14:cfRule type="expression" priority="7439" id="{B126CB50-B345-47DC-9B2E-1FC1B50B1E67}">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7440" stopIfTrue="1" id="{B4EDFC42-D400-4500-AF10-72E3C47C60A7}">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7441" stopIfTrue="1" id="{25611B9D-64B0-44BD-BA6E-083FCB78B8A4}">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7436" id="{E153D042-D4E6-4BE4-BE56-D2D671CE35F3}">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7437" stopIfTrue="1" id="{3046E581-8C65-4A41-B52E-D5309D919B8D}">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7438" stopIfTrue="1" id="{AFB9723D-EEB9-4342-A88F-825DF95415B0}">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7433" id="{EF9960B1-2D09-4B87-89B8-7F3997793A49}">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7434" stopIfTrue="1" id="{A4F3FC48-CE7B-41A9-9983-920FE16AB633}">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7435" stopIfTrue="1" id="{DC9BD7CC-0782-4E91-9F70-FBEB7E8F4B62}">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7430" id="{940DD5DE-18B7-4453-85FF-45093FA44DF5}">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7431" stopIfTrue="1" id="{D536C1E5-7208-4B2D-89C8-9D50BC4F2B4E}">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7432" stopIfTrue="1" id="{477D9079-5B89-4C4F-B0C5-936F424C09B7}">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7427" id="{0232982A-7003-4F9F-8473-C468EE8510A5}">
            <xm:f>AND(IF(CP147&gt;'F:\Users\norela.briceno\Documents\Plan de acción\Plan Accion 2018\[Plan Accion Integrado ADRES Vigencia 2018 con Cuadro de Mando V6..xlsx]Plan de Accion 2018'!#REF!,CP147&lt;&gt;¨N/A¨))</xm:f>
            <x14:dxf>
              <fill>
                <patternFill>
                  <bgColor theme="1" tint="0.499984740745262"/>
                </patternFill>
              </fill>
            </x14:dxf>
          </x14:cfRule>
          <x14:cfRule type="expression" priority="7428" stopIfTrue="1" id="{F36932E4-39ED-4AB5-BBFC-043983733745}">
            <xm:f>AND(IF(CP147='F:\Users\norela.briceno\Documents\Plan de acción\Plan Accion 2018\[Plan Accion Integrado ADRES Vigencia 2018 con Cuadro de Mando V6..xlsx]Plan de Accion 2018'!#REF!,CP147&lt;&gt;"N/A"))</xm:f>
            <x14:dxf>
              <fill>
                <patternFill>
                  <bgColor rgb="FF00B050"/>
                </patternFill>
              </fill>
            </x14:dxf>
          </x14:cfRule>
          <x14:cfRule type="expression" priority="7429" stopIfTrue="1" id="{1A829FAD-F382-48FF-B116-49C5AEBABEBA}">
            <xm:f>AND(IF(CP147&lt;'F:\Users\norela.briceno\Documents\Plan de acción\Plan Accion 2018\[Plan Accion Integrado ADRES Vigencia 2018 con Cuadro de Mando V6..xlsx]Plan de Accion 2018'!#REF!,CP147&lt;&gt;"N/A"))</xm:f>
            <x14:dxf>
              <fill>
                <patternFill>
                  <bgColor indexed="10"/>
                </patternFill>
              </fill>
            </x14:dxf>
          </x14:cfRule>
          <xm:sqref>CP147</xm:sqref>
        </x14:conditionalFormatting>
        <x14:conditionalFormatting xmlns:xm="http://schemas.microsoft.com/office/excel/2006/main">
          <x14:cfRule type="expression" priority="7424" id="{18D145BF-7234-4CA2-868A-9E938F14CDF5}">
            <xm:f>AND(IF(AE139&gt;'F:\Users\norela.briceno\Documents\Plan de acción\Plan Accion 2018\[Plan Accion Integrado ADRES Vigencia 2018 con Cuadro de Mando V6..xlsx]Plan de Accion 2018'!#REF!,AE139&lt;&gt;¨N/A¨))</xm:f>
            <x14:dxf>
              <fill>
                <patternFill>
                  <bgColor theme="1" tint="0.499984740745262"/>
                </patternFill>
              </fill>
            </x14:dxf>
          </x14:cfRule>
          <x14:cfRule type="expression" priority="7425" stopIfTrue="1" id="{C3C1EE0D-AF7A-44EE-8DB9-085488791868}">
            <xm:f>AND(IF(AE139='F:\Users\norela.briceno\Documents\Plan de acción\Plan Accion 2018\[Plan Accion Integrado ADRES Vigencia 2018 con Cuadro de Mando V6..xlsx]Plan de Accion 2018'!#REF!,AE139&lt;&gt;"N/A"))</xm:f>
            <x14:dxf>
              <fill>
                <patternFill>
                  <bgColor rgb="FF00B050"/>
                </patternFill>
              </fill>
            </x14:dxf>
          </x14:cfRule>
          <x14:cfRule type="expression" priority="7426" stopIfTrue="1" id="{31BA392C-970E-4B87-88DC-63817C2B4EC1}">
            <xm:f>AND(IF(AE139&lt;'F:\Users\norela.briceno\Documents\Plan de acción\Plan Accion 2018\[Plan Accion Integrado ADRES Vigencia 2018 con Cuadro de Mando V6..xlsx]Plan de Accion 2018'!#REF!,AE139&lt;&gt;"N/A"))</xm:f>
            <x14:dxf>
              <fill>
                <patternFill>
                  <bgColor indexed="10"/>
                </patternFill>
              </fill>
            </x14:dxf>
          </x14:cfRule>
          <xm:sqref>AE139</xm:sqref>
        </x14:conditionalFormatting>
        <x14:conditionalFormatting xmlns:xm="http://schemas.microsoft.com/office/excel/2006/main">
          <x14:cfRule type="expression" priority="6811" id="{D40DC778-E2C2-43EE-AB89-995C303D2AC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6812" stopIfTrue="1" id="{3F21ED16-B94F-4F9C-9775-53F0C50F7290}">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6813" stopIfTrue="1" id="{E4C73641-3ED5-426D-9AEB-B8C0DD8DD0B1}">
            <xm:f>AND(IF(J37&lt;'F:\Users\norela.briceno\Documents\Plan de acción\Plan Accion 2018\[Plan Accion Integrado ADRES Vigencia 2018 con Cuadro de Mando V6..xlsx]Plan de Accion 2018'!#REF!,J37&lt;&gt;"N/A"))</xm:f>
            <x14:dxf>
              <fill>
                <patternFill>
                  <bgColor indexed="10"/>
                </patternFill>
              </fill>
            </x14:dxf>
          </x14:cfRule>
          <xm:sqref>J37 Q37 X37 AE37</xm:sqref>
        </x14:conditionalFormatting>
        <x14:conditionalFormatting xmlns:xm="http://schemas.microsoft.com/office/excel/2006/main">
          <x14:cfRule type="expression" priority="6733" id="{066979FA-E1A8-4BEF-92F0-D14CA5214AB0}">
            <xm:f>AND(IF(Q38&gt;'F:\Users\norela.briceno\Documents\Plan de acción\Plan Accion 2018\[Plan Accion Integrado ADRES Vigencia 2018 con Cuadro de Mando V6..xlsx]Plan de Accion 2018'!#REF!,Q38&lt;&gt;¨N/A¨))</xm:f>
            <x14:dxf>
              <fill>
                <patternFill>
                  <bgColor theme="1" tint="0.499984740745262"/>
                </patternFill>
              </fill>
            </x14:dxf>
          </x14:cfRule>
          <x14:cfRule type="expression" priority="6734" stopIfTrue="1" id="{F5D0CF07-CD97-43C1-9A0B-B1E090C9BA6B}">
            <xm:f>AND(IF(Q38='F:\Users\norela.briceno\Documents\Plan de acción\Plan Accion 2018\[Plan Accion Integrado ADRES Vigencia 2018 con Cuadro de Mando V6..xlsx]Plan de Accion 2018'!#REF!,Q38&lt;&gt;"N/A"))</xm:f>
            <x14:dxf>
              <fill>
                <patternFill>
                  <bgColor rgb="FF00B050"/>
                </patternFill>
              </fill>
            </x14:dxf>
          </x14:cfRule>
          <x14:cfRule type="expression" priority="6735" stopIfTrue="1" id="{D8FA30BF-5D65-454A-B2EE-44C24C534FBC}">
            <xm:f>AND(IF(Q38&lt;'F:\Users\norela.briceno\Documents\Plan de acción\Plan Accion 2018\[Plan Accion Integrado ADRES Vigencia 2018 con Cuadro de Mando V6..xlsx]Plan de Accion 2018'!#REF!,Q38&lt;&gt;"N/A"))</xm:f>
            <x14:dxf>
              <fill>
                <patternFill>
                  <bgColor indexed="10"/>
                </patternFill>
              </fill>
            </x14:dxf>
          </x14:cfRule>
          <xm:sqref>Q38:Q40 X38:X40 AE38:AE40</xm:sqref>
        </x14:conditionalFormatting>
        <x14:conditionalFormatting xmlns:xm="http://schemas.microsoft.com/office/excel/2006/main">
          <x14:cfRule type="expression" priority="6504" id="{5D42CFE1-7723-4C1C-97F6-36A6D48621A9}">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505" stopIfTrue="1" id="{D95D4B49-027A-4F25-85B4-97D15C3A057F}">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506" stopIfTrue="1" id="{3D566C9B-02A1-44B5-AF65-AAAA4E86A9DF}">
            <xm:f>AND(IF(J163&lt;'F:\Users\norela.briceno\Documents\Plan de acción\Plan Accion 2018\[Plan Accion Integrado ADRES Vigencia 2018 con Cuadro de Mando V6..xlsx]Plan de Accion 2018'!#REF!,J163&lt;&gt;"N/A"))</xm:f>
            <x14:dxf>
              <fill>
                <patternFill>
                  <bgColor indexed="10"/>
                </patternFill>
              </fill>
            </x14:dxf>
          </x14:cfRule>
          <xm:sqref>J163 Q163 AE163 X163</xm:sqref>
        </x14:conditionalFormatting>
        <x14:conditionalFormatting xmlns:xm="http://schemas.microsoft.com/office/excel/2006/main">
          <x14:cfRule type="expression" priority="6495" id="{B428D8F3-182D-46AD-B3FC-06BEC4FE24A2}">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6496" stopIfTrue="1" id="{C054B00B-392C-4C2A-B81A-3B0E9E51714B}">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6497" stopIfTrue="1" id="{F48025F7-3FEE-4C4C-9D1D-34313DEC7C72}">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6492" id="{B00A1618-9497-4AAD-BAE7-324C3A6BCAFF}">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6493" stopIfTrue="1" id="{A81BBDE2-4C50-464D-B8B2-1F5AF32F90F3}">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6494" stopIfTrue="1" id="{AD6EF8B3-55F3-4E0C-A208-12D973EA58D7}">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6501" id="{B5735C13-7B22-451F-B8CF-BB70D676B316}">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502" stopIfTrue="1" id="{BB72D678-43A8-49B5-AF9F-6457E15DC2DC}">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503" stopIfTrue="1" id="{1AC2CAAB-F346-47FD-8456-BCBECE257834}">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6498" id="{514D4A8E-9851-4FA0-8953-4B2DA09BCE88}">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6499" stopIfTrue="1" id="{57A7F179-8409-4DB7-8558-268B2AC62625}">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6500" stopIfTrue="1" id="{C48F5FBD-5042-4ABC-955E-9765950ED94B}">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6429" id="{FE3B6B1F-2AD3-4201-9B2C-28BBC91AB85B}">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430" stopIfTrue="1" id="{49461828-FE0A-4B93-B038-26E850DA0DA9}">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431" stopIfTrue="1" id="{80CF2528-498B-4F14-868F-5018378C6D3D}">
            <xm:f>AND(IF(J164&lt;'F:\Users\norela.briceno\Documents\Plan de acción\Plan Accion 2018\[Plan Accion Integrado ADRES Vigencia 2018 con Cuadro de Mando V6..xlsx]Plan de Accion 2018'!#REF!,J164&lt;&gt;"N/A"))</xm:f>
            <x14:dxf>
              <fill>
                <patternFill>
                  <bgColor indexed="10"/>
                </patternFill>
              </fill>
            </x14:dxf>
          </x14:cfRule>
          <xm:sqref>J164 Q164 AE164 X164</xm:sqref>
        </x14:conditionalFormatting>
        <x14:conditionalFormatting xmlns:xm="http://schemas.microsoft.com/office/excel/2006/main">
          <x14:cfRule type="expression" priority="6420" id="{39E16D68-990D-4441-A88A-C1ADD1C6EEE0}">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6421" stopIfTrue="1" id="{3CF7E1E4-88A4-482C-805B-5416593ABF0C}">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6422" stopIfTrue="1" id="{BC2A18AE-8222-42EA-B81A-9D7C671896A8}">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6417" id="{6E9F9AC6-8724-4196-A490-3AA641A7D704}">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6418" stopIfTrue="1" id="{CC2BB1F6-59CC-417B-8006-70C55FA7F481}">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6419" stopIfTrue="1" id="{F4D528A3-FFD7-42BA-922E-5D1C5CEFC108}">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6426" id="{04018A8C-C270-4F90-8327-7764967DA3D1}">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427" stopIfTrue="1" id="{0FA6235F-73A1-4AE8-8C4F-981B18177465}">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428" stopIfTrue="1" id="{5F677F1A-B2CF-4D51-9AFA-ADF9B17A0555}">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6423" id="{A13D4646-8C4C-4A18-B7C2-54C461F65B29}">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6424" stopIfTrue="1" id="{F7F8792F-1021-45BA-B826-05FD607B2E2B}">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6425" stopIfTrue="1" id="{CF81AAC8-4CF9-4B67-A2E3-D8A30C7161FA}">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6354" id="{F9B30121-17B9-4854-90AF-CDF6F73312DB}">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6355" stopIfTrue="1" id="{CC59EA34-A3A3-4701-85E3-285F819B4E0D}">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6356" stopIfTrue="1" id="{8631FE4F-D56B-4E56-804B-1A94F1976B0F}">
            <xm:f>AND(IF(J165&lt;'F:\Users\norela.briceno\Documents\Plan de acción\Plan Accion 2018\[Plan Accion Integrado ADRES Vigencia 2018 con Cuadro de Mando V6..xlsx]Plan de Accion 2018'!#REF!,J165&lt;&gt;"N/A"))</xm:f>
            <x14:dxf>
              <fill>
                <patternFill>
                  <bgColor indexed="10"/>
                </patternFill>
              </fill>
            </x14:dxf>
          </x14:cfRule>
          <xm:sqref>J165 Q165 AE165 X165</xm:sqref>
        </x14:conditionalFormatting>
        <x14:conditionalFormatting xmlns:xm="http://schemas.microsoft.com/office/excel/2006/main">
          <x14:cfRule type="expression" priority="6345" id="{7582E4CA-DCEB-43EE-80A6-1064EAB84261}">
            <xm:f>AND(IF(X165&gt;'F:\Users\norela.briceno\Documents\Plan de acción\Plan Accion 2018\[Plan Accion Integrado ADRES Vigencia 2018 con Cuadro de Mando V6..xlsx]Plan de Accion 2018'!#REF!,X165&lt;&gt;¨N/A¨))</xm:f>
            <x14:dxf>
              <fill>
                <patternFill>
                  <bgColor theme="1" tint="0.499984740745262"/>
                </patternFill>
              </fill>
            </x14:dxf>
          </x14:cfRule>
          <x14:cfRule type="expression" priority="6346" stopIfTrue="1" id="{71F40028-F7AE-4969-9499-ADE170479D7A}">
            <xm:f>AND(IF(X165='F:\Users\norela.briceno\Documents\Plan de acción\Plan Accion 2018\[Plan Accion Integrado ADRES Vigencia 2018 con Cuadro de Mando V6..xlsx]Plan de Accion 2018'!#REF!,X165&lt;&gt;"N/A"))</xm:f>
            <x14:dxf>
              <fill>
                <patternFill>
                  <bgColor rgb="FF00B050"/>
                </patternFill>
              </fill>
            </x14:dxf>
          </x14:cfRule>
          <x14:cfRule type="expression" priority="6347" stopIfTrue="1" id="{16A9768F-93FF-437D-ABC1-8CB5BF05DA3F}">
            <xm:f>AND(IF(X165&lt;'F:\Users\norela.briceno\Documents\Plan de acción\Plan Accion 2018\[Plan Accion Integrado ADRES Vigencia 2018 con Cuadro de Mando V6..xlsx]Plan de Accion 2018'!#REF!,X165&lt;&gt;"N/A"))</xm:f>
            <x14:dxf>
              <fill>
                <patternFill>
                  <bgColor indexed="10"/>
                </patternFill>
              </fill>
            </x14:dxf>
          </x14:cfRule>
          <xm:sqref>X165</xm:sqref>
        </x14:conditionalFormatting>
        <x14:conditionalFormatting xmlns:xm="http://schemas.microsoft.com/office/excel/2006/main">
          <x14:cfRule type="expression" priority="6342" id="{96C456E4-1AC8-4527-8CE9-B55F7B150CE7}">
            <xm:f>AND(IF(AE165&gt;'F:\Users\norela.briceno\Documents\Plan de acción\Plan Accion 2018\[Plan Accion Integrado ADRES Vigencia 2018 con Cuadro de Mando V6..xlsx]Plan de Accion 2018'!#REF!,AE165&lt;&gt;¨N/A¨))</xm:f>
            <x14:dxf>
              <fill>
                <patternFill>
                  <bgColor theme="1" tint="0.499984740745262"/>
                </patternFill>
              </fill>
            </x14:dxf>
          </x14:cfRule>
          <x14:cfRule type="expression" priority="6343" stopIfTrue="1" id="{76B755E8-6E06-4DFC-A882-7BA31B41DD52}">
            <xm:f>AND(IF(AE165='F:\Users\norela.briceno\Documents\Plan de acción\Plan Accion 2018\[Plan Accion Integrado ADRES Vigencia 2018 con Cuadro de Mando V6..xlsx]Plan de Accion 2018'!#REF!,AE165&lt;&gt;"N/A"))</xm:f>
            <x14:dxf>
              <fill>
                <patternFill>
                  <bgColor rgb="FF00B050"/>
                </patternFill>
              </fill>
            </x14:dxf>
          </x14:cfRule>
          <x14:cfRule type="expression" priority="6344" stopIfTrue="1" id="{9B6DC9F4-DCE1-4EB7-8A79-06A8DD36293D}">
            <xm:f>AND(IF(AE165&lt;'F:\Users\norela.briceno\Documents\Plan de acción\Plan Accion 2018\[Plan Accion Integrado ADRES Vigencia 2018 con Cuadro de Mando V6..xlsx]Plan de Accion 2018'!#REF!,AE165&lt;&gt;"N/A"))</xm:f>
            <x14:dxf>
              <fill>
                <patternFill>
                  <bgColor indexed="10"/>
                </patternFill>
              </fill>
            </x14:dxf>
          </x14:cfRule>
          <xm:sqref>AE165</xm:sqref>
        </x14:conditionalFormatting>
        <x14:conditionalFormatting xmlns:xm="http://schemas.microsoft.com/office/excel/2006/main">
          <x14:cfRule type="expression" priority="6351" id="{B4FF5167-6040-499F-AB62-B3E1C8992832}">
            <xm:f>AND(IF(J165&gt;'F:\Users\norela.briceno\Documents\Plan de acción\Plan Accion 2018\[Plan Accion Integrado ADRES Vigencia 2018 con Cuadro de Mando V6..xlsx]Plan de Accion 2018'!#REF!,J165&lt;&gt;¨N/A¨))</xm:f>
            <x14:dxf>
              <fill>
                <patternFill>
                  <bgColor theme="1" tint="0.499984740745262"/>
                </patternFill>
              </fill>
            </x14:dxf>
          </x14:cfRule>
          <x14:cfRule type="expression" priority="6352" stopIfTrue="1" id="{BD5DE37C-AC73-4AEB-8C77-7F35562608D7}">
            <xm:f>AND(IF(J165='F:\Users\norela.briceno\Documents\Plan de acción\Plan Accion 2018\[Plan Accion Integrado ADRES Vigencia 2018 con Cuadro de Mando V6..xlsx]Plan de Accion 2018'!#REF!,J165&lt;&gt;"N/A"))</xm:f>
            <x14:dxf>
              <fill>
                <patternFill>
                  <bgColor rgb="FF00B050"/>
                </patternFill>
              </fill>
            </x14:dxf>
          </x14:cfRule>
          <x14:cfRule type="expression" priority="6353" stopIfTrue="1" id="{88210313-6502-4998-93F4-EA2BF5E4F742}">
            <xm:f>AND(IF(J165&lt;'F:\Users\norela.briceno\Documents\Plan de acción\Plan Accion 2018\[Plan Accion Integrado ADRES Vigencia 2018 con Cuadro de Mando V6..xlsx]Plan de Accion 2018'!#REF!,J165&lt;&gt;"N/A"))</xm:f>
            <x14:dxf>
              <fill>
                <patternFill>
                  <bgColor indexed="10"/>
                </patternFill>
              </fill>
            </x14:dxf>
          </x14:cfRule>
          <xm:sqref>J165</xm:sqref>
        </x14:conditionalFormatting>
        <x14:conditionalFormatting xmlns:xm="http://schemas.microsoft.com/office/excel/2006/main">
          <x14:cfRule type="expression" priority="6348" id="{BFFCD5ED-9757-4C06-BBF4-1B958080C417}">
            <xm:f>AND(IF(Q165&gt;'F:\Users\norela.briceno\Documents\Plan de acción\Plan Accion 2018\[Plan Accion Integrado ADRES Vigencia 2018 con Cuadro de Mando V6..xlsx]Plan de Accion 2018'!#REF!,Q165&lt;&gt;¨N/A¨))</xm:f>
            <x14:dxf>
              <fill>
                <patternFill>
                  <bgColor theme="1" tint="0.499984740745262"/>
                </patternFill>
              </fill>
            </x14:dxf>
          </x14:cfRule>
          <x14:cfRule type="expression" priority="6349" stopIfTrue="1" id="{B9D96603-D19B-4AA8-981B-1EB184192A3B}">
            <xm:f>AND(IF(Q165='F:\Users\norela.briceno\Documents\Plan de acción\Plan Accion 2018\[Plan Accion Integrado ADRES Vigencia 2018 con Cuadro de Mando V6..xlsx]Plan de Accion 2018'!#REF!,Q165&lt;&gt;"N/A"))</xm:f>
            <x14:dxf>
              <fill>
                <patternFill>
                  <bgColor rgb="FF00B050"/>
                </patternFill>
              </fill>
            </x14:dxf>
          </x14:cfRule>
          <x14:cfRule type="expression" priority="6350" stopIfTrue="1" id="{8A6973D4-A9AA-4644-9961-489136A5C887}">
            <xm:f>AND(IF(Q165&lt;'F:\Users\norela.briceno\Documents\Plan de acción\Plan Accion 2018\[Plan Accion Integrado ADRES Vigencia 2018 con Cuadro de Mando V6..xlsx]Plan de Accion 2018'!#REF!,Q165&lt;&gt;"N/A"))</xm:f>
            <x14:dxf>
              <fill>
                <patternFill>
                  <bgColor indexed="10"/>
                </patternFill>
              </fill>
            </x14:dxf>
          </x14:cfRule>
          <xm:sqref>Q165</xm:sqref>
        </x14:conditionalFormatting>
        <x14:conditionalFormatting xmlns:xm="http://schemas.microsoft.com/office/excel/2006/main">
          <x14:cfRule type="expression" priority="6279" id="{C34BEEA5-937E-4DEC-AAA9-61F35E12B6B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6280" stopIfTrue="1" id="{0BA6E738-7506-4D8A-8F87-554B3E192A04}">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6281" stopIfTrue="1" id="{E9DE201D-6558-4B1C-BEA7-D107D48E0202}">
            <xm:f>AND(IF(J221&lt;'F:\Users\norela.briceno\Documents\Plan de acción\Plan Accion 2018\[Plan Accion Integrado ADRES Vigencia 2018 con Cuadro de Mando V6..xlsx]Plan de Accion 2018'!#REF!,J221&lt;&gt;"N/A"))</xm:f>
            <x14:dxf>
              <fill>
                <patternFill>
                  <bgColor indexed="10"/>
                </patternFill>
              </fill>
            </x14:dxf>
          </x14:cfRule>
          <xm:sqref>J221 Q221 X221</xm:sqref>
        </x14:conditionalFormatting>
        <x14:conditionalFormatting xmlns:xm="http://schemas.microsoft.com/office/excel/2006/main">
          <x14:cfRule type="expression" priority="6276" id="{77869E63-2413-4530-962F-65F62FDBD15E}">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6277" stopIfTrue="1" id="{FC6CC163-C3F8-4EB6-B256-BD599328F7F4}">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6278" stopIfTrue="1" id="{52F153CA-3007-4EF5-9C21-0D8AF7D8D9D1}">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6135" id="{83A8B659-1A4E-42CF-8B0F-0244DA05A2C7}">
            <xm:f>AND(IF(J223&gt;'F:\Users\norela.briceno\Documents\Plan de acción\Plan Accion 2018\[Plan Accion Integrado ADRES Vigencia 2018 con Cuadro de Mando V6..xlsx]Plan de Accion 2018'!#REF!,J223&lt;&gt;¨N/A¨))</xm:f>
            <x14:dxf>
              <fill>
                <patternFill>
                  <bgColor theme="1" tint="0.499984740745262"/>
                </patternFill>
              </fill>
            </x14:dxf>
          </x14:cfRule>
          <x14:cfRule type="expression" priority="6136" stopIfTrue="1" id="{029266E3-CD95-4642-8231-B44DC3BE9F30}">
            <xm:f>AND(IF(J223='F:\Users\norela.briceno\Documents\Plan de acción\Plan Accion 2018\[Plan Accion Integrado ADRES Vigencia 2018 con Cuadro de Mando V6..xlsx]Plan de Accion 2018'!#REF!,J223&lt;&gt;"N/A"))</xm:f>
            <x14:dxf>
              <fill>
                <patternFill>
                  <bgColor rgb="FF00B050"/>
                </patternFill>
              </fill>
            </x14:dxf>
          </x14:cfRule>
          <x14:cfRule type="expression" priority="6137" stopIfTrue="1" id="{2981106E-9119-4E96-BE2F-386B69562CF6}">
            <xm:f>AND(IF(J223&lt;'F:\Users\norela.briceno\Documents\Plan de acción\Plan Accion 2018\[Plan Accion Integrado ADRES Vigencia 2018 con Cuadro de Mando V6..xlsx]Plan de Accion 2018'!#REF!,J223&lt;&gt;"N/A"))</xm:f>
            <x14:dxf>
              <fill>
                <patternFill>
                  <bgColor indexed="10"/>
                </patternFill>
              </fill>
            </x14:dxf>
          </x14:cfRule>
          <xm:sqref>J223</xm:sqref>
        </x14:conditionalFormatting>
        <x14:conditionalFormatting xmlns:xm="http://schemas.microsoft.com/office/excel/2006/main">
          <x14:cfRule type="expression" priority="6132" id="{C10D817A-5504-4927-A046-F47BCBB57D62}">
            <xm:f>AND(IF(Q223&gt;'F:\Users\norela.briceno\Documents\Plan de acción\Plan Accion 2018\[Plan Accion Integrado ADRES Vigencia 2018 con Cuadro de Mando V6..xlsx]Plan de Accion 2018'!#REF!,Q223&lt;&gt;¨N/A¨))</xm:f>
            <x14:dxf>
              <fill>
                <patternFill>
                  <bgColor theme="1" tint="0.499984740745262"/>
                </patternFill>
              </fill>
            </x14:dxf>
          </x14:cfRule>
          <x14:cfRule type="expression" priority="6133" stopIfTrue="1" id="{86FE6A8F-78C1-46C8-A4F1-D130ECDAA707}">
            <xm:f>AND(IF(Q223='F:\Users\norela.briceno\Documents\Plan de acción\Plan Accion 2018\[Plan Accion Integrado ADRES Vigencia 2018 con Cuadro de Mando V6..xlsx]Plan de Accion 2018'!#REF!,Q223&lt;&gt;"N/A"))</xm:f>
            <x14:dxf>
              <fill>
                <patternFill>
                  <bgColor rgb="FF00B050"/>
                </patternFill>
              </fill>
            </x14:dxf>
          </x14:cfRule>
          <x14:cfRule type="expression" priority="6134" stopIfTrue="1" id="{422C06F6-60C5-45ED-AA73-CE35359030F3}">
            <xm:f>AND(IF(Q223&lt;'F:\Users\norela.briceno\Documents\Plan de acción\Plan Accion 2018\[Plan Accion Integrado ADRES Vigencia 2018 con Cuadro de Mando V6..xlsx]Plan de Accion 2018'!#REF!,Q223&lt;&gt;"N/A"))</xm:f>
            <x14:dxf>
              <fill>
                <patternFill>
                  <bgColor indexed="10"/>
                </patternFill>
              </fill>
            </x14:dxf>
          </x14:cfRule>
          <xm:sqref>Q223</xm:sqref>
        </x14:conditionalFormatting>
        <x14:conditionalFormatting xmlns:xm="http://schemas.microsoft.com/office/excel/2006/main">
          <x14:cfRule type="expression" priority="6129" id="{8945044E-5B70-498A-91FB-BAD1FC2E7CC3}">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6130" stopIfTrue="1" id="{4B65AA45-25F5-4ECA-90D8-8456879FC782}">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6131" stopIfTrue="1" id="{224F094A-0269-447D-8798-2295BEBD7B38}">
            <xm:f>AND(IF(X223&lt;'F:\Users\norela.briceno\Documents\Plan de acción\Plan Accion 2018\[Plan Accion Integrado ADRES Vigencia 2018 con Cuadro de Mando V6..xlsx]Plan de Accion 2018'!#REF!,X223&lt;&gt;"N/A"))</xm:f>
            <x14:dxf>
              <fill>
                <patternFill>
                  <bgColor indexed="10"/>
                </patternFill>
              </fill>
            </x14:dxf>
          </x14:cfRule>
          <xm:sqref>X223</xm:sqref>
        </x14:conditionalFormatting>
        <x14:conditionalFormatting xmlns:xm="http://schemas.microsoft.com/office/excel/2006/main">
          <x14:cfRule type="expression" priority="6126" id="{332524AB-F5D3-4E3B-8017-C5D6D9439D6E}">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6127" stopIfTrue="1" id="{84ED7FAC-0230-427D-8C02-35BCF01FAD57}">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6128" stopIfTrue="1" id="{F563CDF4-C64F-4D59-B393-BAAC2E5CA4C0}">
            <xm:f>AND(IF(AE223&lt;'F:\Users\norela.briceno\Documents\Plan de acción\Plan Accion 2018\[Plan Accion Integrado ADRES Vigencia 2018 con Cuadro de Mando V6..xlsx]Plan de Accion 2018'!#REF!,AE223&lt;&gt;"N/A"))</xm:f>
            <x14:dxf>
              <fill>
                <patternFill>
                  <bgColor indexed="10"/>
                </patternFill>
              </fill>
            </x14:dxf>
          </x14:cfRule>
          <xm:sqref>AE223</xm:sqref>
        </x14:conditionalFormatting>
        <x14:conditionalFormatting xmlns:xm="http://schemas.microsoft.com/office/excel/2006/main">
          <x14:cfRule type="expression" priority="6078" id="{149B742A-24C4-43B2-8B53-F6D3C4FBB79E}">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6079" stopIfTrue="1" id="{47219E15-B7A1-4B00-A24F-135CD2BB46AB}">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6080" stopIfTrue="1" id="{B30DB269-C50E-42F4-81EE-A154E1BCC295}">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6075" id="{547A33DE-7BD5-4E7A-A668-873024494D63}">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6076" stopIfTrue="1" id="{AFFD421F-BCAD-4149-B73D-FF500986BA42}">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6077" stopIfTrue="1" id="{A8609158-53A4-4457-B64C-73C642D7966E}">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6072" id="{830158AD-726B-4B2C-8C51-1D393FDF5B08}">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6073" stopIfTrue="1" id="{190FEC07-2924-480E-8134-5875A12761BF}">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6074" stopIfTrue="1" id="{95CC606B-8E5F-4885-8098-9AC556461FAC}">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6069" id="{B9DB54FB-8EF3-4E84-B51A-E9ABE745EE1E}">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6070" stopIfTrue="1" id="{CC3A0616-EFD1-4870-968C-D5D0D1DCFC54}">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6071" stopIfTrue="1" id="{69D912B8-B141-4594-8F31-C5C4D6FFBFE6}">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5892" id="{566F99DB-BC11-4E68-B845-47CC81715891}">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5893" stopIfTrue="1" id="{C45D2435-F3F3-4BDC-A912-52BFF8A52C4D}">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5894" stopIfTrue="1" id="{CE6C320C-D118-4046-8BA4-757036C7D278}">
            <xm:f>AND(IF(J227&lt;'F:\Users\norela.briceno\Documents\Plan de acción\Plan Accion 2018\[Plan Accion Integrado ADRES Vigencia 2018 con Cuadro de Mando V6..xlsx]Plan de Accion 2018'!#REF!,J227&lt;&gt;"N/A"))</xm:f>
            <x14:dxf>
              <fill>
                <patternFill>
                  <bgColor indexed="10"/>
                </patternFill>
              </fill>
            </x14:dxf>
          </x14:cfRule>
          <xm:sqref>J227:J230</xm:sqref>
        </x14:conditionalFormatting>
        <x14:conditionalFormatting xmlns:xm="http://schemas.microsoft.com/office/excel/2006/main">
          <x14:cfRule type="expression" priority="5889" id="{2FA8E241-141C-41EF-803D-4CA21DE1614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5890" stopIfTrue="1" id="{57BA5BED-3C78-4A09-AF05-98A8A0F64CE2}">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5891" stopIfTrue="1" id="{125416A4-E1C7-49CA-9574-541134EF2EFD}">
            <xm:f>AND(IF(Q227&lt;'F:\Users\norela.briceno\Documents\Plan de acción\Plan Accion 2018\[Plan Accion Integrado ADRES Vigencia 2018 con Cuadro de Mando V6..xlsx]Plan de Accion 2018'!#REF!,Q227&lt;&gt;"N/A"))</xm:f>
            <x14:dxf>
              <fill>
                <patternFill>
                  <bgColor indexed="10"/>
                </patternFill>
              </fill>
            </x14:dxf>
          </x14:cfRule>
          <xm:sqref>Q227:Q230</xm:sqref>
        </x14:conditionalFormatting>
        <x14:conditionalFormatting xmlns:xm="http://schemas.microsoft.com/office/excel/2006/main">
          <x14:cfRule type="expression" priority="5886" id="{8F3FFA04-725B-4452-A223-345D4F669B9C}">
            <xm:f>AND(IF(X228&gt;'F:\Users\norela.briceno\Documents\Plan de acción\Plan Accion 2018\[Plan Accion Integrado ADRES Vigencia 2018 con Cuadro de Mando V6..xlsx]Plan de Accion 2018'!#REF!,X228&lt;&gt;¨N/A¨))</xm:f>
            <x14:dxf>
              <fill>
                <patternFill>
                  <bgColor theme="1" tint="0.499984740745262"/>
                </patternFill>
              </fill>
            </x14:dxf>
          </x14:cfRule>
          <x14:cfRule type="expression" priority="5887" stopIfTrue="1" id="{51B883A6-3066-4498-9740-10DA7CE9E01E}">
            <xm:f>AND(IF(X228='F:\Users\norela.briceno\Documents\Plan de acción\Plan Accion 2018\[Plan Accion Integrado ADRES Vigencia 2018 con Cuadro de Mando V6..xlsx]Plan de Accion 2018'!#REF!,X228&lt;&gt;"N/A"))</xm:f>
            <x14:dxf>
              <fill>
                <patternFill>
                  <bgColor rgb="FF00B050"/>
                </patternFill>
              </fill>
            </x14:dxf>
          </x14:cfRule>
          <x14:cfRule type="expression" priority="5888" stopIfTrue="1" id="{C06BDC18-C773-46E2-A257-6582319B518A}">
            <xm:f>AND(IF(X228&lt;'F:\Users\norela.briceno\Documents\Plan de acción\Plan Accion 2018\[Plan Accion Integrado ADRES Vigencia 2018 con Cuadro de Mando V6..xlsx]Plan de Accion 2018'!#REF!,X228&lt;&gt;"N/A"))</xm:f>
            <x14:dxf>
              <fill>
                <patternFill>
                  <bgColor indexed="10"/>
                </patternFill>
              </fill>
            </x14:dxf>
          </x14:cfRule>
          <xm:sqref>X228:X230</xm:sqref>
        </x14:conditionalFormatting>
        <x14:conditionalFormatting xmlns:xm="http://schemas.microsoft.com/office/excel/2006/main">
          <x14:cfRule type="expression" priority="5883" id="{B327F576-14ED-4F9F-90AB-4B840C20D134}">
            <xm:f>AND(IF(AE228&gt;'F:\Users\norela.briceno\Documents\Plan de acción\Plan Accion 2018\[Plan Accion Integrado ADRES Vigencia 2018 con Cuadro de Mando V6..xlsx]Plan de Accion 2018'!#REF!,AE228&lt;&gt;¨N/A¨))</xm:f>
            <x14:dxf>
              <fill>
                <patternFill>
                  <bgColor theme="1" tint="0.499984740745262"/>
                </patternFill>
              </fill>
            </x14:dxf>
          </x14:cfRule>
          <x14:cfRule type="expression" priority="5884" stopIfTrue="1" id="{0DBF6F7C-6440-4D9E-82CF-2D90A744557E}">
            <xm:f>AND(IF(AE228='F:\Users\norela.briceno\Documents\Plan de acción\Plan Accion 2018\[Plan Accion Integrado ADRES Vigencia 2018 con Cuadro de Mando V6..xlsx]Plan de Accion 2018'!#REF!,AE228&lt;&gt;"N/A"))</xm:f>
            <x14:dxf>
              <fill>
                <patternFill>
                  <bgColor rgb="FF00B050"/>
                </patternFill>
              </fill>
            </x14:dxf>
          </x14:cfRule>
          <x14:cfRule type="expression" priority="5885" stopIfTrue="1" id="{28302D0A-8CAD-4566-97DC-75606E8B540B}">
            <xm:f>AND(IF(AE228&lt;'F:\Users\norela.briceno\Documents\Plan de acción\Plan Accion 2018\[Plan Accion Integrado ADRES Vigencia 2018 con Cuadro de Mando V6..xlsx]Plan de Accion 2018'!#REF!,AE228&lt;&gt;"N/A"))</xm:f>
            <x14:dxf>
              <fill>
                <patternFill>
                  <bgColor indexed="10"/>
                </patternFill>
              </fill>
            </x14:dxf>
          </x14:cfRule>
          <xm:sqref>AE228:AE230</xm:sqref>
        </x14:conditionalFormatting>
        <x14:conditionalFormatting xmlns:xm="http://schemas.microsoft.com/office/excel/2006/main">
          <x14:cfRule type="expression" priority="5835" id="{FD8621CA-60B1-412F-9E7E-F1010AEF4986}">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5836" stopIfTrue="1" id="{0E217C7E-7201-4E24-9479-DB1F3169CC17}">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5837" stopIfTrue="1" id="{1EBD231B-76A8-4C9A-9B29-5460E6208589}">
            <xm:f>AND(IF(J231&lt;'F:\Users\norela.briceno\Documents\Plan de acción\Plan Accion 2018\[Plan Accion Integrado ADRES Vigencia 2018 con Cuadro de Mando V6..xlsx]Plan de Accion 2018'!#REF!,J231&lt;&gt;"N/A"))</xm:f>
            <x14:dxf>
              <fill>
                <patternFill>
                  <bgColor indexed="10"/>
                </patternFill>
              </fill>
            </x14:dxf>
          </x14:cfRule>
          <xm:sqref>J231 J233</xm:sqref>
        </x14:conditionalFormatting>
        <x14:conditionalFormatting xmlns:xm="http://schemas.microsoft.com/office/excel/2006/main">
          <x14:cfRule type="expression" priority="5832" id="{F1CE9EF2-E0C6-4203-BFCC-A32A20B928A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5833" stopIfTrue="1" id="{2A466121-10E2-4CA1-8D49-DFF828D74955}">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5834" stopIfTrue="1" id="{ECEBD2D1-8E99-43C2-AEE5-567E2F58475F}">
            <xm:f>AND(IF(Q231&lt;'F:\Users\norela.briceno\Documents\Plan de acción\Plan Accion 2018\[Plan Accion Integrado ADRES Vigencia 2018 con Cuadro de Mando V6..xlsx]Plan de Accion 2018'!#REF!,Q231&lt;&gt;"N/A"))</xm:f>
            <x14:dxf>
              <fill>
                <patternFill>
                  <bgColor indexed="10"/>
                </patternFill>
              </fill>
            </x14:dxf>
          </x14:cfRule>
          <xm:sqref>Q231 Q233</xm:sqref>
        </x14:conditionalFormatting>
        <x14:conditionalFormatting xmlns:xm="http://schemas.microsoft.com/office/excel/2006/main">
          <x14:cfRule type="expression" priority="5829" id="{D871D231-F5E0-48F2-86B8-D0FBACC5D894}">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5830" stopIfTrue="1" id="{EC2772E2-358C-4CC4-B9F5-986C86796C5A}">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5831" stopIfTrue="1" id="{38FD9C06-8159-4037-B08B-2FE418AE24AA}">
            <xm:f>AND(IF(X231&lt;'F:\Users\norela.briceno\Documents\Plan de acción\Plan Accion 2018\[Plan Accion Integrado ADRES Vigencia 2018 con Cuadro de Mando V6..xlsx]Plan de Accion 2018'!#REF!,X231&lt;&gt;"N/A"))</xm:f>
            <x14:dxf>
              <fill>
                <patternFill>
                  <bgColor indexed="10"/>
                </patternFill>
              </fill>
            </x14:dxf>
          </x14:cfRule>
          <xm:sqref>X231 X233</xm:sqref>
        </x14:conditionalFormatting>
        <x14:conditionalFormatting xmlns:xm="http://schemas.microsoft.com/office/excel/2006/main">
          <x14:cfRule type="expression" priority="5826" id="{E4421963-20A7-4475-B5AD-B7BFBA46C4E4}">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5827" stopIfTrue="1" id="{879A45C0-2E03-4565-B94F-AADBEB88F302}">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5828" stopIfTrue="1" id="{99207D8B-FC1C-430B-9449-EA0203E59391}">
            <xm:f>AND(IF(AE231&lt;'F:\Users\norela.briceno\Documents\Plan de acción\Plan Accion 2018\[Plan Accion Integrado ADRES Vigencia 2018 con Cuadro de Mando V6..xlsx]Plan de Accion 2018'!#REF!,AE231&lt;&gt;"N/A"))</xm:f>
            <x14:dxf>
              <fill>
                <patternFill>
                  <bgColor indexed="10"/>
                </patternFill>
              </fill>
            </x14:dxf>
          </x14:cfRule>
          <xm:sqref>AE231 AE233</xm:sqref>
        </x14:conditionalFormatting>
        <x14:conditionalFormatting xmlns:xm="http://schemas.microsoft.com/office/excel/2006/main">
          <x14:cfRule type="expression" priority="5778" id="{9B9D58FC-EBA2-4EDC-A6E5-8A28B7A108C9}">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5779" stopIfTrue="1" id="{E7F49D78-4567-4867-9101-0E8183BF8BD7}">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5780" stopIfTrue="1" id="{5826E8FB-CEC1-45B4-8418-990019932743}">
            <xm:f>AND(IF(J234&lt;'F:\Users\norela.briceno\Documents\Plan de acción\Plan Accion 2018\[Plan Accion Integrado ADRES Vigencia 2018 con Cuadro de Mando V6..xlsx]Plan de Accion 2018'!#REF!,J234&lt;&gt;"N/A"))</xm:f>
            <x14:dxf>
              <fill>
                <patternFill>
                  <bgColor indexed="10"/>
                </patternFill>
              </fill>
            </x14:dxf>
          </x14:cfRule>
          <xm:sqref>J234:J235</xm:sqref>
        </x14:conditionalFormatting>
        <x14:conditionalFormatting xmlns:xm="http://schemas.microsoft.com/office/excel/2006/main">
          <x14:cfRule type="expression" priority="5775" id="{A3C50CE2-DC03-4049-B4B3-EF887960B8E9}">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5776" stopIfTrue="1" id="{B5E3045A-F20A-4DC9-9679-EF1A15323A4A}">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5777" stopIfTrue="1" id="{248F0684-7511-4FC3-9943-65F2538B0B7A}">
            <xm:f>AND(IF(Q234&lt;'F:\Users\norela.briceno\Documents\Plan de acción\Plan Accion 2018\[Plan Accion Integrado ADRES Vigencia 2018 con Cuadro de Mando V6..xlsx]Plan de Accion 2018'!#REF!,Q234&lt;&gt;"N/A"))</xm:f>
            <x14:dxf>
              <fill>
                <patternFill>
                  <bgColor indexed="10"/>
                </patternFill>
              </fill>
            </x14:dxf>
          </x14:cfRule>
          <xm:sqref>Q234:Q235</xm:sqref>
        </x14:conditionalFormatting>
        <x14:conditionalFormatting xmlns:xm="http://schemas.microsoft.com/office/excel/2006/main">
          <x14:cfRule type="expression" priority="5772" id="{B6707C46-F141-496B-8468-48989BB1E990}">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5773" stopIfTrue="1" id="{503917E6-9B32-4580-8A74-7BE8302AD14B}">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5774" stopIfTrue="1" id="{6EA0A63D-2D0E-476A-BB74-5B9A38C73EF8}">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5769" id="{84DC8D6B-0515-44CB-B5E6-7BD5B727D233}">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5770" stopIfTrue="1" id="{20907293-7EA7-4218-BE14-6E8C0E69EFC7}">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5771" stopIfTrue="1" id="{22E8B20F-C1BD-4892-92C7-BDD401F5974C}">
            <xm:f>AND(IF(AE234&lt;'F:\Users\norela.briceno\Documents\Plan de acción\Plan Accion 2018\[Plan Accion Integrado ADRES Vigencia 2018 con Cuadro de Mando V6..xlsx]Plan de Accion 2018'!#REF!,AE234&lt;&gt;"N/A"))</xm:f>
            <x14:dxf>
              <fill>
                <patternFill>
                  <bgColor indexed="10"/>
                </patternFill>
              </fill>
            </x14:dxf>
          </x14:cfRule>
          <xm:sqref>AE234:AE235</xm:sqref>
        </x14:conditionalFormatting>
        <x14:conditionalFormatting xmlns:xm="http://schemas.microsoft.com/office/excel/2006/main">
          <x14:cfRule type="expression" priority="5666" id="{A82E03F4-F9A3-4EE8-A3E5-756593B4833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5667" stopIfTrue="1" id="{E645F696-12C5-4B21-92FA-CD30556E942C}">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5668" stopIfTrue="1" id="{A29856FF-D9E1-467A-BB41-435A77E4ECD7}">
            <xm:f>AND(IF(J29&lt;'F:\Users\norela.briceno\Documents\Plan de acción\Plan Accion 2018\[Plan Accion Integrado ADRES Vigencia 2018 con Cuadro de Mando V6..xlsx]Plan de Accion 2018'!#REF!,J29&lt;&gt;"N/A"))</xm:f>
            <x14:dxf>
              <fill>
                <patternFill>
                  <bgColor indexed="10"/>
                </patternFill>
              </fill>
            </x14:dxf>
          </x14:cfRule>
          <xm:sqref>J29</xm:sqref>
        </x14:conditionalFormatting>
        <x14:conditionalFormatting xmlns:xm="http://schemas.microsoft.com/office/excel/2006/main">
          <x14:cfRule type="expression" priority="5663" id="{EC79C27C-2A1D-43D6-A407-E7BCF036F8A6}">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5664" stopIfTrue="1" id="{633E00F0-1E32-4B60-AD64-C0C6FE1F4F46}">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5665" stopIfTrue="1" id="{EA8F5EA4-A373-431E-AC1B-D68794561657}">
            <xm:f>AND(IF(Q29&lt;'F:\Users\norela.briceno\Documents\Plan de acción\Plan Accion 2018\[Plan Accion Integrado ADRES Vigencia 2018 con Cuadro de Mando V6..xlsx]Plan de Accion 2018'!#REF!,Q29&lt;&gt;"N/A"))</xm:f>
            <x14:dxf>
              <fill>
                <patternFill>
                  <bgColor indexed="10"/>
                </patternFill>
              </fill>
            </x14:dxf>
          </x14:cfRule>
          <xm:sqref>Q29</xm:sqref>
        </x14:conditionalFormatting>
        <x14:conditionalFormatting xmlns:xm="http://schemas.microsoft.com/office/excel/2006/main">
          <x14:cfRule type="expression" priority="5660" id="{4C97690C-6301-4F0B-A7B0-2D23AD910148}">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5661" stopIfTrue="1" id="{0CB558AA-F197-4026-A15E-AE83F695CAA8}">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5662" stopIfTrue="1" id="{A0D9DC49-19D7-4F27-9537-DB358F3AB5D4}">
            <xm:f>AND(IF(X29&lt;'F:\Users\norela.briceno\Documents\Plan de acción\Plan Accion 2018\[Plan Accion Integrado ADRES Vigencia 2018 con Cuadro de Mando V6..xlsx]Plan de Accion 2018'!#REF!,X29&lt;&gt;"N/A"))</xm:f>
            <x14:dxf>
              <fill>
                <patternFill>
                  <bgColor indexed="10"/>
                </patternFill>
              </fill>
            </x14:dxf>
          </x14:cfRule>
          <xm:sqref>X29</xm:sqref>
        </x14:conditionalFormatting>
        <x14:conditionalFormatting xmlns:xm="http://schemas.microsoft.com/office/excel/2006/main">
          <x14:cfRule type="expression" priority="5657" id="{054F2FA6-480D-44E9-9CD6-14F15E040314}">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5658" stopIfTrue="1" id="{6F85D7E4-AF92-4021-8917-0FFF2B259B5E}">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5659" stopIfTrue="1" id="{BB2D0FA8-645F-4A5C-88F3-03200C139C95}">
            <xm:f>AND(IF(AE29&lt;'F:\Users\norela.briceno\Documents\Plan de acción\Plan Accion 2018\[Plan Accion Integrado ADRES Vigencia 2018 con Cuadro de Mando V6..xlsx]Plan de Accion 2018'!#REF!,AE29&lt;&gt;"N/A"))</xm:f>
            <x14:dxf>
              <fill>
                <patternFill>
                  <bgColor indexed="10"/>
                </patternFill>
              </fill>
            </x14:dxf>
          </x14:cfRule>
          <xm:sqref>AE29</xm:sqref>
        </x14:conditionalFormatting>
        <x14:conditionalFormatting xmlns:xm="http://schemas.microsoft.com/office/excel/2006/main">
          <x14:cfRule type="expression" priority="5574" id="{EC80BF5B-3BF4-4144-BB9F-AACA03F6B8E3}">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5575" stopIfTrue="1" id="{B919AE6E-B88F-4270-BDA0-2591D25E395A}">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5576" stopIfTrue="1" id="{BFC03F3E-6138-4A3F-86E3-BBC9DE8E7572}">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5571" id="{A7696E25-37D4-4D99-9351-670E143CA1E5}">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5572" stopIfTrue="1" id="{FD4223FB-5D0B-4C83-8C75-836613BAD41D}">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5573" stopIfTrue="1" id="{DD968B25-1713-473F-A7BF-880F525E143B}">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5568" id="{49E2A11F-623B-445E-A62B-3C83AF5DEC81}">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5569" stopIfTrue="1" id="{69F5DBAF-7050-4E0D-9605-982B81997CB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5570" stopIfTrue="1" id="{4EA6398D-CC9F-4887-8737-40CF0B149910}">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5565" id="{2A516708-44A2-4784-80D4-3C316B967A62}">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5566" stopIfTrue="1" id="{ECD29F6A-1FC7-4542-9FB6-9FB74A194E7F}">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5567" stopIfTrue="1" id="{5735A86E-16D9-4292-A51B-54966E63B7BB}">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5532" id="{AE1D980C-DB5A-4979-A035-4C0DEC16A25C}">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5533" stopIfTrue="1" id="{D3054ADA-B522-4AE0-8198-A453842C271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5534" stopIfTrue="1" id="{58DC047A-555E-4C23-9AC4-A9BEFA5AB16A}">
            <xm:f>AND(IF(J197&lt;'F:\Users\norela.briceno\Documents\Plan de acción\Plan Accion 2018\[Plan Accion Integrado ADRES Vigencia 2018 con Cuadro de Mando V6..xlsx]Plan de Accion 2018'!#REF!,J197&lt;&gt;"N/A"))</xm:f>
            <x14:dxf>
              <fill>
                <patternFill>
                  <bgColor indexed="10"/>
                </patternFill>
              </fill>
            </x14:dxf>
          </x14:cfRule>
          <xm:sqref>J197 Q197 X197 AE197</xm:sqref>
        </x14:conditionalFormatting>
        <x14:conditionalFormatting xmlns:xm="http://schemas.microsoft.com/office/excel/2006/main">
          <x14:cfRule type="expression" priority="4983" id="{678754D2-DF50-46B1-8950-C24ECED98EAA}">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984" stopIfTrue="1" id="{FE5492CB-4494-4244-BDB8-FAE8A2242B01}">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985" stopIfTrue="1" id="{FF3B8240-B4B7-4511-A498-F783E631C3A0}">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980" id="{E31CAE8C-B71B-44E4-AFF4-883187A31A39}">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981" stopIfTrue="1" id="{0D53A130-D0CD-47BD-96B8-C45648C70A18}">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982" stopIfTrue="1" id="{2134D9FD-6C38-4BB3-B664-1D731DF85627}">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977" id="{EA0F4617-3541-4A16-AEE3-158925537A2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978" stopIfTrue="1" id="{6888D027-E077-4900-8DE1-98767CE80CEC}">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979" stopIfTrue="1" id="{AA75BFD8-AC06-4F50-9190-344A9DB4FF89}">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974" id="{932C68B0-9696-4145-8E2E-F3E408C2B429}">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975" stopIfTrue="1" id="{49673DF4-5D96-4D15-AD34-A8B389714EDD}">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976" stopIfTrue="1" id="{71307233-5815-4812-A9B9-6E3ABA6111FC}">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946" id="{685D9830-4CAE-4569-AD87-32D3D687B4B1}">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4947" stopIfTrue="1" id="{BC1DB968-9DE0-4A47-8676-B1FEDF3E098D}">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4948" stopIfTrue="1" id="{FCC11635-5254-4058-872B-86984798E174}">
            <xm:f>AND(IF(J195&lt;'F:\Users\norela.briceno\Documents\Plan de acción\Plan Accion 2018\[Plan Accion Integrado ADRES Vigencia 2018 con Cuadro de Mando V6..xlsx]Plan de Accion 2018'!#REF!,J195&lt;&gt;"N/A"))</xm:f>
            <x14:dxf>
              <fill>
                <patternFill>
                  <bgColor indexed="10"/>
                </patternFill>
              </fill>
            </x14:dxf>
          </x14:cfRule>
          <xm:sqref>J195 Q195 X195 AE195</xm:sqref>
        </x14:conditionalFormatting>
        <x14:conditionalFormatting xmlns:xm="http://schemas.microsoft.com/office/excel/2006/main">
          <x14:cfRule type="expression" priority="4815" id="{BE555A1A-93F9-40E9-8AA3-F886DF9DBF8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816" stopIfTrue="1" id="{FB09D814-759B-446F-A793-0F0DFB25BBDA}">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817" stopIfTrue="1" id="{C6D69CB3-95CB-4607-B17F-7CEF50451595}">
            <xm:f>AND(IF(J186&lt;'F:\Users\norela.briceno\Documents\Plan de acción\Plan Accion 2018\[Plan Accion Integrado ADRES Vigencia 2018 con Cuadro de Mando V6..xlsx]Plan de Accion 2018'!#REF!,J186&lt;&gt;"N/A"))</xm:f>
            <x14:dxf>
              <fill>
                <patternFill>
                  <bgColor indexed="10"/>
                </patternFill>
              </fill>
            </x14:dxf>
          </x14:cfRule>
          <xm:sqref>J186 Q186 X186 AE186</xm:sqref>
        </x14:conditionalFormatting>
        <x14:conditionalFormatting xmlns:xm="http://schemas.microsoft.com/office/excel/2006/main">
          <x14:cfRule type="expression" priority="4687" id="{ED4F8C0B-7DC5-4D1C-AF20-9B5032F77918}">
            <xm:f>AND(IF(J360&gt;'F:\Users\norela.briceno\Documents\Plan de acción\Plan Accion 2018\[Plan Accion Integrado ADRES Vigencia 2018 con Cuadro de Mando V6..xlsx]Plan de Accion 2018'!#REF!,J360&lt;&gt;¨N/A¨))</xm:f>
            <x14:dxf>
              <fill>
                <patternFill>
                  <bgColor theme="1" tint="0.499984740745262"/>
                </patternFill>
              </fill>
            </x14:dxf>
          </x14:cfRule>
          <x14:cfRule type="expression" priority="4688" stopIfTrue="1" id="{5BB40D00-DCFB-4FC5-B310-0A67B27EF4D1}">
            <xm:f>AND(IF(J360='F:\Users\norela.briceno\Documents\Plan de acción\Plan Accion 2018\[Plan Accion Integrado ADRES Vigencia 2018 con Cuadro de Mando V6..xlsx]Plan de Accion 2018'!#REF!,J360&lt;&gt;"N/A"))</xm:f>
            <x14:dxf>
              <fill>
                <patternFill>
                  <bgColor rgb="FF00B050"/>
                </patternFill>
              </fill>
            </x14:dxf>
          </x14:cfRule>
          <x14:cfRule type="expression" priority="4689" stopIfTrue="1" id="{01A3E23E-AC6C-41B7-A2C4-7E6525CAAD3F}">
            <xm:f>AND(IF(J360&lt;'F:\Users\norela.briceno\Documents\Plan de acción\Plan Accion 2018\[Plan Accion Integrado ADRES Vigencia 2018 con Cuadro de Mando V6..xlsx]Plan de Accion 2018'!#REF!,J360&lt;&gt;"N/A"))</xm:f>
            <x14:dxf>
              <fill>
                <patternFill>
                  <bgColor indexed="10"/>
                </patternFill>
              </fill>
            </x14:dxf>
          </x14:cfRule>
          <xm:sqref>J360</xm:sqref>
        </x14:conditionalFormatting>
        <x14:conditionalFormatting xmlns:xm="http://schemas.microsoft.com/office/excel/2006/main">
          <x14:cfRule type="expression" priority="4684" id="{D636282C-CAEF-4530-827D-58254A676B8C}">
            <xm:f>AND(IF(Q360&gt;'F:\Users\norela.briceno\Documents\Plan de acción\Plan Accion 2018\[Plan Accion Integrado ADRES Vigencia 2018 con Cuadro de Mando V6..xlsx]Plan de Accion 2018'!#REF!,Q360&lt;&gt;¨N/A¨))</xm:f>
            <x14:dxf>
              <fill>
                <patternFill>
                  <bgColor theme="1" tint="0.499984740745262"/>
                </patternFill>
              </fill>
            </x14:dxf>
          </x14:cfRule>
          <x14:cfRule type="expression" priority="4685" stopIfTrue="1" id="{1F67E81B-8B9E-41D6-B56A-F2B7B48C17AF}">
            <xm:f>AND(IF(Q360='F:\Users\norela.briceno\Documents\Plan de acción\Plan Accion 2018\[Plan Accion Integrado ADRES Vigencia 2018 con Cuadro de Mando V6..xlsx]Plan de Accion 2018'!#REF!,Q360&lt;&gt;"N/A"))</xm:f>
            <x14:dxf>
              <fill>
                <patternFill>
                  <bgColor rgb="FF00B050"/>
                </patternFill>
              </fill>
            </x14:dxf>
          </x14:cfRule>
          <x14:cfRule type="expression" priority="4686" stopIfTrue="1" id="{ED5BC70F-5F79-4A3D-9478-95F9797153F3}">
            <xm:f>AND(IF(Q360&lt;'F:\Users\norela.briceno\Documents\Plan de acción\Plan Accion 2018\[Plan Accion Integrado ADRES Vigencia 2018 con Cuadro de Mando V6..xlsx]Plan de Accion 2018'!#REF!,Q360&lt;&gt;"N/A"))</xm:f>
            <x14:dxf>
              <fill>
                <patternFill>
                  <bgColor indexed="10"/>
                </patternFill>
              </fill>
            </x14:dxf>
          </x14:cfRule>
          <xm:sqref>Q360</xm:sqref>
        </x14:conditionalFormatting>
        <x14:conditionalFormatting xmlns:xm="http://schemas.microsoft.com/office/excel/2006/main">
          <x14:cfRule type="expression" priority="4681" id="{7547245C-38C8-43A1-A568-6C4E44BBB8A3}">
            <xm:f>AND(IF(X360&gt;'F:\Users\norela.briceno\Documents\Plan de acción\Plan Accion 2018\[Plan Accion Integrado ADRES Vigencia 2018 con Cuadro de Mando V6..xlsx]Plan de Accion 2018'!#REF!,X360&lt;&gt;¨N/A¨))</xm:f>
            <x14:dxf>
              <fill>
                <patternFill>
                  <bgColor theme="1" tint="0.499984740745262"/>
                </patternFill>
              </fill>
            </x14:dxf>
          </x14:cfRule>
          <x14:cfRule type="expression" priority="4682" stopIfTrue="1" id="{8E152BB0-E4C4-4D52-A3E7-66CBECD57933}">
            <xm:f>AND(IF(X360='F:\Users\norela.briceno\Documents\Plan de acción\Plan Accion 2018\[Plan Accion Integrado ADRES Vigencia 2018 con Cuadro de Mando V6..xlsx]Plan de Accion 2018'!#REF!,X360&lt;&gt;"N/A"))</xm:f>
            <x14:dxf>
              <fill>
                <patternFill>
                  <bgColor rgb="FF00B050"/>
                </patternFill>
              </fill>
            </x14:dxf>
          </x14:cfRule>
          <x14:cfRule type="expression" priority="4683" stopIfTrue="1" id="{9CCA5A68-A8D7-42AF-B3FC-EA29E2C86A4F}">
            <xm:f>AND(IF(X360&lt;'F:\Users\norela.briceno\Documents\Plan de acción\Plan Accion 2018\[Plan Accion Integrado ADRES Vigencia 2018 con Cuadro de Mando V6..xlsx]Plan de Accion 2018'!#REF!,X360&lt;&gt;"N/A"))</xm:f>
            <x14:dxf>
              <fill>
                <patternFill>
                  <bgColor indexed="10"/>
                </patternFill>
              </fill>
            </x14:dxf>
          </x14:cfRule>
          <xm:sqref>X360</xm:sqref>
        </x14:conditionalFormatting>
        <x14:conditionalFormatting xmlns:xm="http://schemas.microsoft.com/office/excel/2006/main">
          <x14:cfRule type="expression" priority="4678" id="{1603CF81-F798-44BB-A1EF-41103772D496}">
            <xm:f>AND(IF(AE360&gt;'F:\Users\norela.briceno\Documents\Plan de acción\Plan Accion 2018\[Plan Accion Integrado ADRES Vigencia 2018 con Cuadro de Mando V6..xlsx]Plan de Accion 2018'!#REF!,AE360&lt;&gt;¨N/A¨))</xm:f>
            <x14:dxf>
              <fill>
                <patternFill>
                  <bgColor theme="1" tint="0.499984740745262"/>
                </patternFill>
              </fill>
            </x14:dxf>
          </x14:cfRule>
          <x14:cfRule type="expression" priority="4679" stopIfTrue="1" id="{5599C34F-D546-4645-89D3-EAAEF7BFAB4F}">
            <xm:f>AND(IF(AE360='F:\Users\norela.briceno\Documents\Plan de acción\Plan Accion 2018\[Plan Accion Integrado ADRES Vigencia 2018 con Cuadro de Mando V6..xlsx]Plan de Accion 2018'!#REF!,AE360&lt;&gt;"N/A"))</xm:f>
            <x14:dxf>
              <fill>
                <patternFill>
                  <bgColor rgb="FF00B050"/>
                </patternFill>
              </fill>
            </x14:dxf>
          </x14:cfRule>
          <x14:cfRule type="expression" priority="4680" stopIfTrue="1" id="{C43E3513-AE80-4AD0-8DCD-377768E275ED}">
            <xm:f>AND(IF(AE360&lt;'F:\Users\norela.briceno\Documents\Plan de acción\Plan Accion 2018\[Plan Accion Integrado ADRES Vigencia 2018 con Cuadro de Mando V6..xlsx]Plan de Accion 2018'!#REF!,AE360&lt;&gt;"N/A"))</xm:f>
            <x14:dxf>
              <fill>
                <patternFill>
                  <bgColor indexed="10"/>
                </patternFill>
              </fill>
            </x14:dxf>
          </x14:cfRule>
          <xm:sqref>AE360</xm:sqref>
        </x14:conditionalFormatting>
        <x14:conditionalFormatting xmlns:xm="http://schemas.microsoft.com/office/excel/2006/main">
          <x14:cfRule type="expression" priority="4635" id="{6AFBBCAB-19FF-4980-8D55-AAB242D507A6}">
            <xm:f>AND(IF(J38&gt;'F:\Users\norela.briceno\Documents\Plan de acción\Plan Accion 2018\[Plan Accion Integrado ADRES Vigencia 2018 con Cuadro de Mando V6..xlsx]Plan de Accion 2018'!#REF!,J38&lt;&gt;¨N/A¨))</xm:f>
            <x14:dxf>
              <fill>
                <patternFill>
                  <bgColor theme="1" tint="0.499984740745262"/>
                </patternFill>
              </fill>
            </x14:dxf>
          </x14:cfRule>
          <x14:cfRule type="expression" priority="4636" stopIfTrue="1" id="{A4E01B9E-9391-4180-9B12-680EC8ED5008}">
            <xm:f>AND(IF(J38='F:\Users\norela.briceno\Documents\Plan de acción\Plan Accion 2018\[Plan Accion Integrado ADRES Vigencia 2018 con Cuadro de Mando V6..xlsx]Plan de Accion 2018'!#REF!,J38&lt;&gt;"N/A"))</xm:f>
            <x14:dxf>
              <fill>
                <patternFill>
                  <bgColor rgb="FF00B050"/>
                </patternFill>
              </fill>
            </x14:dxf>
          </x14:cfRule>
          <x14:cfRule type="expression" priority="4637" stopIfTrue="1" id="{7FB56252-170F-472F-BE22-FF4160C73165}">
            <xm:f>AND(IF(J38&lt;'F:\Users\norela.briceno\Documents\Plan de acción\Plan Accion 2018\[Plan Accion Integrado ADRES Vigencia 2018 con Cuadro de Mando V6..xlsx]Plan de Accion 2018'!#REF!,J38&lt;&gt;"N/A"))</xm:f>
            <x14:dxf>
              <fill>
                <patternFill>
                  <bgColor indexed="10"/>
                </patternFill>
              </fill>
            </x14:dxf>
          </x14:cfRule>
          <xm:sqref>J38:J40</xm:sqref>
        </x14:conditionalFormatting>
        <x14:conditionalFormatting xmlns:xm="http://schemas.microsoft.com/office/excel/2006/main">
          <x14:cfRule type="expression" priority="4617" id="{135C4F72-0258-4E51-B978-DC71F801423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4618" stopIfTrue="1" id="{96D39079-AF33-447D-AF36-490234D3A1B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4619" stopIfTrue="1" id="{C701ADF7-D3F0-446E-BAFF-E4F95729562C}">
            <xm:f>AND(IF(X239&lt;'F:\Users\norela.briceno\Documents\Plan de acción\Plan Accion 2018\[Plan Accion Integrado ADRES Vigencia 2018 con Cuadro de Mando V6..xlsx]Plan de Accion 2018'!#REF!,X239&lt;&gt;"N/A"))</xm:f>
            <x14:dxf>
              <fill>
                <patternFill>
                  <bgColor indexed="10"/>
                </patternFill>
              </fill>
            </x14:dxf>
          </x14:cfRule>
          <xm:sqref>X239:X240</xm:sqref>
        </x14:conditionalFormatting>
        <x14:conditionalFormatting xmlns:xm="http://schemas.microsoft.com/office/excel/2006/main">
          <x14:cfRule type="expression" priority="4604" id="{2D330E5A-F1B3-40A1-A120-1DD055E9DE3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4605" stopIfTrue="1" id="{C3B742D9-FCF7-49F4-93D7-1CD320DBF8B3}">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4606" stopIfTrue="1" id="{3200E4F7-A45A-48C9-A339-DD5DED3B8783}">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4532" id="{BB268176-6760-4DEE-94AF-8785C1180D11}">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4533" stopIfTrue="1" id="{4E3E99BC-E60D-4823-A2B1-4099FF95CF9E}">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4534" stopIfTrue="1" id="{F341BF8D-46BF-4185-97AF-1086DE8D6B9E}">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4541" id="{4C948924-FDF4-46D7-B4BE-946862EBABC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542" stopIfTrue="1" id="{B8CB04C2-2544-4844-820C-BF50867A4F2F}">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543" stopIfTrue="1" id="{ED675424-1FBD-463F-BE62-E35FE3AB2B51}">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538" id="{9921FE1D-0488-4978-9516-13AD0FA46DC5}">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4539" stopIfTrue="1" id="{2A229CC6-0CE4-4A0A-9B70-749CCFA80BE7}">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4540" stopIfTrue="1" id="{BC3474CA-F4AA-423A-8469-49BB18B7C340}">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4535" id="{38EDBC65-AEC4-4CA4-A4AD-94E34E066A9E}">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4536" stopIfTrue="1" id="{4B736B93-D52C-406D-BBAA-DC30935F5B0C}">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4537" stopIfTrue="1" id="{7AE1A6A8-5EC1-44B5-B392-D76B33885EB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4484" id="{4BD4C8E7-859B-4138-809E-A5EEC933A1E9}">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4485" stopIfTrue="1" id="{46A7945A-196C-4315-80B6-BC4F0569B2D4}">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4486" stopIfTrue="1" id="{CCFD72B2-D76F-46CC-A29C-2BF16DE3F128}">
            <xm:f>AND(IF(J180&lt;'F:\Users\norela.briceno\Documents\Plan de acción\Plan Accion 2018\[Plan Accion Integrado ADRES Vigencia 2018 con Cuadro de Mando V6..xlsx]Plan de Accion 2018'!#REF!,J180&lt;&gt;"N/A"))</xm:f>
            <x14:dxf>
              <fill>
                <patternFill>
                  <bgColor indexed="10"/>
                </patternFill>
              </fill>
            </x14:dxf>
          </x14:cfRule>
          <xm:sqref>J180</xm:sqref>
        </x14:conditionalFormatting>
        <x14:conditionalFormatting xmlns:xm="http://schemas.microsoft.com/office/excel/2006/main">
          <x14:cfRule type="expression" priority="4481" id="{C6AD351F-C471-4266-A556-32475F1B8909}">
            <xm:f>AND(IF(Q180&gt;'F:\Users\norela.briceno\Documents\Plan de acción\Plan Accion 2018\[Plan Accion Integrado ADRES Vigencia 2018 con Cuadro de Mando V6..xlsx]Plan de Accion 2018'!#REF!,Q180&lt;&gt;¨N/A¨))</xm:f>
            <x14:dxf>
              <fill>
                <patternFill>
                  <bgColor theme="1" tint="0.499984740745262"/>
                </patternFill>
              </fill>
            </x14:dxf>
          </x14:cfRule>
          <x14:cfRule type="expression" priority="4482" stopIfTrue="1" id="{9EF91D29-DEBD-4F9B-9C2E-A73A2CA881E7}">
            <xm:f>AND(IF(Q180='F:\Users\norela.briceno\Documents\Plan de acción\Plan Accion 2018\[Plan Accion Integrado ADRES Vigencia 2018 con Cuadro de Mando V6..xlsx]Plan de Accion 2018'!#REF!,Q180&lt;&gt;"N/A"))</xm:f>
            <x14:dxf>
              <fill>
                <patternFill>
                  <bgColor rgb="FF00B050"/>
                </patternFill>
              </fill>
            </x14:dxf>
          </x14:cfRule>
          <x14:cfRule type="expression" priority="4483" stopIfTrue="1" id="{F4AA46E8-B339-498F-9D2C-90F6ABC0A7F7}">
            <xm:f>AND(IF(Q180&lt;'F:\Users\norela.briceno\Documents\Plan de acción\Plan Accion 2018\[Plan Accion Integrado ADRES Vigencia 2018 con Cuadro de Mando V6..xlsx]Plan de Accion 2018'!#REF!,Q180&lt;&gt;"N/A"))</xm:f>
            <x14:dxf>
              <fill>
                <patternFill>
                  <bgColor indexed="10"/>
                </patternFill>
              </fill>
            </x14:dxf>
          </x14:cfRule>
          <xm:sqref>Q180</xm:sqref>
        </x14:conditionalFormatting>
        <x14:conditionalFormatting xmlns:xm="http://schemas.microsoft.com/office/excel/2006/main">
          <x14:cfRule type="expression" priority="4478" id="{7BC1B977-C15E-4F1D-984C-77A92DA4F754}">
            <xm:f>AND(IF(X180&gt;'F:\Users\norela.briceno\Documents\Plan de acción\Plan Accion 2018\[Plan Accion Integrado ADRES Vigencia 2018 con Cuadro de Mando V6..xlsx]Plan de Accion 2018'!#REF!,X180&lt;&gt;¨N/A¨))</xm:f>
            <x14:dxf>
              <fill>
                <patternFill>
                  <bgColor theme="1" tint="0.499984740745262"/>
                </patternFill>
              </fill>
            </x14:dxf>
          </x14:cfRule>
          <x14:cfRule type="expression" priority="4479" stopIfTrue="1" id="{FB0CA6FB-5D56-41B7-AAE4-3EE1AE6361F0}">
            <xm:f>AND(IF(X180='F:\Users\norela.briceno\Documents\Plan de acción\Plan Accion 2018\[Plan Accion Integrado ADRES Vigencia 2018 con Cuadro de Mando V6..xlsx]Plan de Accion 2018'!#REF!,X180&lt;&gt;"N/A"))</xm:f>
            <x14:dxf>
              <fill>
                <patternFill>
                  <bgColor rgb="FF00B050"/>
                </patternFill>
              </fill>
            </x14:dxf>
          </x14:cfRule>
          <x14:cfRule type="expression" priority="4480" stopIfTrue="1" id="{BE1F4E85-DE83-4D4B-9017-032549C786E2}">
            <xm:f>AND(IF(X180&lt;'F:\Users\norela.briceno\Documents\Plan de acción\Plan Accion 2018\[Plan Accion Integrado ADRES Vigencia 2018 con Cuadro de Mando V6..xlsx]Plan de Accion 2018'!#REF!,X180&lt;&gt;"N/A"))</xm:f>
            <x14:dxf>
              <fill>
                <patternFill>
                  <bgColor indexed="10"/>
                </patternFill>
              </fill>
            </x14:dxf>
          </x14:cfRule>
          <xm:sqref>X180</xm:sqref>
        </x14:conditionalFormatting>
        <x14:conditionalFormatting xmlns:xm="http://schemas.microsoft.com/office/excel/2006/main">
          <x14:cfRule type="expression" priority="4475" id="{F64FC179-FE41-4418-9C44-A620178E15A4}">
            <xm:f>AND(IF(AE180&gt;'F:\Users\norela.briceno\Documents\Plan de acción\Plan Accion 2018\[Plan Accion Integrado ADRES Vigencia 2018 con Cuadro de Mando V6..xlsx]Plan de Accion 2018'!#REF!,AE180&lt;&gt;¨N/A¨))</xm:f>
            <x14:dxf>
              <fill>
                <patternFill>
                  <bgColor theme="1" tint="0.499984740745262"/>
                </patternFill>
              </fill>
            </x14:dxf>
          </x14:cfRule>
          <x14:cfRule type="expression" priority="4476" stopIfTrue="1" id="{6A183700-CD8C-4D0A-9A7D-75E9DA82CEF6}">
            <xm:f>AND(IF(AE180='F:\Users\norela.briceno\Documents\Plan de acción\Plan Accion 2018\[Plan Accion Integrado ADRES Vigencia 2018 con Cuadro de Mando V6..xlsx]Plan de Accion 2018'!#REF!,AE180&lt;&gt;"N/A"))</xm:f>
            <x14:dxf>
              <fill>
                <patternFill>
                  <bgColor rgb="FF00B050"/>
                </patternFill>
              </fill>
            </x14:dxf>
          </x14:cfRule>
          <x14:cfRule type="expression" priority="4477" stopIfTrue="1" id="{6CA6EC19-6F7C-4ACD-A71A-A3D0B56E98E6}">
            <xm:f>AND(IF(AE180&lt;'F:\Users\norela.briceno\Documents\Plan de acción\Plan Accion 2018\[Plan Accion Integrado ADRES Vigencia 2018 con Cuadro de Mando V6..xlsx]Plan de Accion 2018'!#REF!,AE180&lt;&gt;"N/A"))</xm:f>
            <x14:dxf>
              <fill>
                <patternFill>
                  <bgColor indexed="10"/>
                </patternFill>
              </fill>
            </x14:dxf>
          </x14:cfRule>
          <xm:sqref>AE180</xm:sqref>
        </x14:conditionalFormatting>
        <x14:conditionalFormatting xmlns:xm="http://schemas.microsoft.com/office/excel/2006/main">
          <x14:cfRule type="expression" priority="4417" id="{6909E69D-CD05-4667-BB85-7186CF8EF2AE}">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4418" stopIfTrue="1" id="{E3C133C7-ECDD-4F2E-9D6D-BD6340808ADB}">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4419" stopIfTrue="1" id="{59ACAC54-7C9C-486C-AF72-722D54F2A306}">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4414" id="{78C70622-9AEB-44D8-9A3E-A9DA70D014C1}">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4415" stopIfTrue="1" id="{0A2F5A50-DD83-4E0F-82F4-E618237FBD96}">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4416" stopIfTrue="1" id="{32E4270F-2C7E-40B6-BC6D-47A79CDEFAF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4411" id="{BCA9250E-F43E-4044-B269-8F9CD8B5C1C4}">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4412" stopIfTrue="1" id="{4BCE8185-0D2D-4B48-AEAD-6F89048A750F}">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4413" stopIfTrue="1" id="{285045A8-6F89-453A-B584-BEDDFAA0B424}">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4408" id="{D23294BB-B419-40B1-B1E7-17742289B818}">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4409" stopIfTrue="1" id="{1C262F84-8C65-4BFB-9999-B38083DA8D45}">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4410" stopIfTrue="1" id="{3567F6AF-6331-4873-A46D-CCB8A1BC5C92}">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4283" id="{A90AEEAA-B7D6-44C0-95C3-3B11855E7489}">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4284" stopIfTrue="1" id="{6861F00B-5533-44BC-AF35-BB5D3E8D5A68}">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4285" stopIfTrue="1" id="{D313A976-C0B4-4E33-A613-6962B0699DC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4280" id="{06971972-D215-4D6E-BA39-804A40BC2AC6}">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4281" stopIfTrue="1" id="{88C86DDE-6D3F-4402-BC2E-7A7E890D989B}">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4282" stopIfTrue="1" id="{A341B50B-699B-4D3E-8399-B9E7DA204405}">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4277" id="{8EA6C477-543C-489C-B0DB-949DEC23DFF5}">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4278" stopIfTrue="1" id="{F6A65E21-639A-4F96-9E45-BEAFB69DD10F}">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4279" stopIfTrue="1" id="{EE3F1E07-4B1B-4C62-BC60-F282E88DB99D}">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4274" id="{18127477-04E1-422A-93D1-DE757E067D45}">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4275" stopIfTrue="1" id="{E73F013B-5C86-42C9-9946-5D382CC371ED}">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4276" stopIfTrue="1" id="{56707A23-3782-4809-8650-BF46CB3AC6EC}">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4179" id="{02C33234-171D-4F43-B510-75DC58EC9BA3}">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4180" stopIfTrue="1" id="{B4E0A2B6-93A8-406B-A71C-2E8C2AEC29C4}">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4181" stopIfTrue="1" id="{019E6C98-FC64-417C-AACC-0B49E66096A0}">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4176" id="{E45A54E8-6DF1-4047-A9EC-2A08FCE9F572}">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4177" stopIfTrue="1" id="{26568D78-234B-456B-90B4-C7EC27C68D19}">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4178" stopIfTrue="1" id="{2E2824FE-1FD6-4ADE-B5CE-46B98BF6E6C5}">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4173" id="{728F53F8-EA20-4DEB-80B1-159409E285E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4174" stopIfTrue="1" id="{C57F910F-9BFD-4C55-9C65-16CAF3C15DA9}">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4175" stopIfTrue="1" id="{B983F737-FDC9-4EDF-A298-CDC320267CC2}">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4170" id="{E3185B19-EDC7-4032-AF45-E4A0EA4188B0}">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4171" stopIfTrue="1" id="{B37C0324-109A-4806-8250-54AF5E404520}">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4172" stopIfTrue="1" id="{960AA39A-FB85-43A9-9125-3A5FAE5E753E}">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4231" id="{840D8F4E-9E29-472F-B003-2B6939BA1389}">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4232" stopIfTrue="1" id="{8821FFD7-72B0-4F05-A489-DD3C5522C0AC}">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4233" stopIfTrue="1" id="{5A86C4E5-ABD3-4BDE-84DB-F5A2857182B5}">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4228" id="{E5FCAF73-DFF6-48AC-8BBD-222B113C973D}">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4229" stopIfTrue="1" id="{E61A0BBB-8403-4B50-B311-117FE097946A}">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4230" stopIfTrue="1" id="{E25472CE-8FE8-4276-91D2-6C325A46E50C}">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4225" id="{54DFA993-14A5-4AD3-94CE-7D03ED13F2F4}">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4226" stopIfTrue="1" id="{1481BFB0-A4AD-4039-AB0A-26FC0F909AFC}">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4227" stopIfTrue="1" id="{A083EA89-E044-41A0-ACAB-C1EE72181E6E}">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4222" id="{7365FF77-437B-4D8E-8D9C-A320C27E2432}">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4223" stopIfTrue="1" id="{EA7CFD54-ED7D-43B4-865E-379E2488D9CF}">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4224" stopIfTrue="1" id="{BB3D524B-54F8-4825-A920-CF5CB5780BAC}">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4107" id="{06468BE9-3687-4F1B-B44D-BECD811D2F63}">
            <xm:f>AND(IF(J138&gt;'F:\Users\norela.briceno\Documents\Plan de acción\Plan Accion 2018\[Plan Accion Integrado ADRES Vigencia 2018 con Cuadro de Mando V6..xlsx]Plan de Accion 2018'!#REF!,J138&lt;&gt;¨N/A¨))</xm:f>
            <x14:dxf>
              <fill>
                <patternFill>
                  <bgColor theme="1" tint="0.499984740745262"/>
                </patternFill>
              </fill>
            </x14:dxf>
          </x14:cfRule>
          <x14:cfRule type="expression" priority="4108" stopIfTrue="1" id="{D2095F11-8BD8-45D6-BA2A-43B56C9EFB9F}">
            <xm:f>AND(IF(J138='F:\Users\norela.briceno\Documents\Plan de acción\Plan Accion 2018\[Plan Accion Integrado ADRES Vigencia 2018 con Cuadro de Mando V6..xlsx]Plan de Accion 2018'!#REF!,J138&lt;&gt;"N/A"))</xm:f>
            <x14:dxf>
              <fill>
                <patternFill>
                  <bgColor rgb="FF00B050"/>
                </patternFill>
              </fill>
            </x14:dxf>
          </x14:cfRule>
          <x14:cfRule type="expression" priority="4109" stopIfTrue="1" id="{A872340C-C505-4B08-9AD6-FBA5A9CFD471}">
            <xm:f>AND(IF(J138&lt;'F:\Users\norela.briceno\Documents\Plan de acción\Plan Accion 2018\[Plan Accion Integrado ADRES Vigencia 2018 con Cuadro de Mando V6..xlsx]Plan de Accion 2018'!#REF!,J138&lt;&gt;"N/A"))</xm:f>
            <x14:dxf>
              <fill>
                <patternFill>
                  <bgColor indexed="10"/>
                </patternFill>
              </fill>
            </x14:dxf>
          </x14:cfRule>
          <xm:sqref>J138</xm:sqref>
        </x14:conditionalFormatting>
        <x14:conditionalFormatting xmlns:xm="http://schemas.microsoft.com/office/excel/2006/main">
          <x14:cfRule type="expression" priority="4104" id="{BC439988-F28F-48FF-A971-558C1218E3C8}">
            <xm:f>AND(IF(Q138&gt;'F:\Users\norela.briceno\Documents\Plan de acción\Plan Accion 2018\[Plan Accion Integrado ADRES Vigencia 2018 con Cuadro de Mando V6..xlsx]Plan de Accion 2018'!#REF!,Q138&lt;&gt;¨N/A¨))</xm:f>
            <x14:dxf>
              <fill>
                <patternFill>
                  <bgColor theme="1" tint="0.499984740745262"/>
                </patternFill>
              </fill>
            </x14:dxf>
          </x14:cfRule>
          <x14:cfRule type="expression" priority="4105" stopIfTrue="1" id="{4AB83D62-61C2-4511-AB28-47FAEB99D28C}">
            <xm:f>AND(IF(Q138='F:\Users\norela.briceno\Documents\Plan de acción\Plan Accion 2018\[Plan Accion Integrado ADRES Vigencia 2018 con Cuadro de Mando V6..xlsx]Plan de Accion 2018'!#REF!,Q138&lt;&gt;"N/A"))</xm:f>
            <x14:dxf>
              <fill>
                <patternFill>
                  <bgColor rgb="FF00B050"/>
                </patternFill>
              </fill>
            </x14:dxf>
          </x14:cfRule>
          <x14:cfRule type="expression" priority="4106" stopIfTrue="1" id="{14DBC476-3C92-453E-A4AC-70AF6D83753E}">
            <xm:f>AND(IF(Q138&lt;'F:\Users\norela.briceno\Documents\Plan de acción\Plan Accion 2018\[Plan Accion Integrado ADRES Vigencia 2018 con Cuadro de Mando V6..xlsx]Plan de Accion 2018'!#REF!,Q138&lt;&gt;"N/A"))</xm:f>
            <x14:dxf>
              <fill>
                <patternFill>
                  <bgColor indexed="10"/>
                </patternFill>
              </fill>
            </x14:dxf>
          </x14:cfRule>
          <xm:sqref>Q138</xm:sqref>
        </x14:conditionalFormatting>
        <x14:conditionalFormatting xmlns:xm="http://schemas.microsoft.com/office/excel/2006/main">
          <x14:cfRule type="expression" priority="4101" id="{6341A248-9F2D-4670-8E68-A9A43A588E91}">
            <xm:f>AND(IF(X138&gt;'F:\Users\norela.briceno\Documents\Plan de acción\Plan Accion 2018\[Plan Accion Integrado ADRES Vigencia 2018 con Cuadro de Mando V6..xlsx]Plan de Accion 2018'!#REF!,X138&lt;&gt;¨N/A¨))</xm:f>
            <x14:dxf>
              <fill>
                <patternFill>
                  <bgColor theme="1" tint="0.499984740745262"/>
                </patternFill>
              </fill>
            </x14:dxf>
          </x14:cfRule>
          <x14:cfRule type="expression" priority="4102" stopIfTrue="1" id="{26BCF0B2-5CBF-42B9-9D8E-8BC919189ECE}">
            <xm:f>AND(IF(X138='F:\Users\norela.briceno\Documents\Plan de acción\Plan Accion 2018\[Plan Accion Integrado ADRES Vigencia 2018 con Cuadro de Mando V6..xlsx]Plan de Accion 2018'!#REF!,X138&lt;&gt;"N/A"))</xm:f>
            <x14:dxf>
              <fill>
                <patternFill>
                  <bgColor rgb="FF00B050"/>
                </patternFill>
              </fill>
            </x14:dxf>
          </x14:cfRule>
          <x14:cfRule type="expression" priority="4103" stopIfTrue="1" id="{9C7E53CC-3023-4B51-BD5E-4C78A0140849}">
            <xm:f>AND(IF(X138&lt;'F:\Users\norela.briceno\Documents\Plan de acción\Plan Accion 2018\[Plan Accion Integrado ADRES Vigencia 2018 con Cuadro de Mando V6..xlsx]Plan de Accion 2018'!#REF!,X138&lt;&gt;"N/A"))</xm:f>
            <x14:dxf>
              <fill>
                <patternFill>
                  <bgColor indexed="10"/>
                </patternFill>
              </fill>
            </x14:dxf>
          </x14:cfRule>
          <xm:sqref>X138</xm:sqref>
        </x14:conditionalFormatting>
        <x14:conditionalFormatting xmlns:xm="http://schemas.microsoft.com/office/excel/2006/main">
          <x14:cfRule type="expression" priority="4098" id="{9EFD7EA3-E197-42F1-B0A9-04EF17624E75}">
            <xm:f>AND(IF(AE138&gt;'F:\Users\norela.briceno\Documents\Plan de acción\Plan Accion 2018\[Plan Accion Integrado ADRES Vigencia 2018 con Cuadro de Mando V6..xlsx]Plan de Accion 2018'!#REF!,AE138&lt;&gt;¨N/A¨))</xm:f>
            <x14:dxf>
              <fill>
                <patternFill>
                  <bgColor theme="1" tint="0.499984740745262"/>
                </patternFill>
              </fill>
            </x14:dxf>
          </x14:cfRule>
          <x14:cfRule type="expression" priority="4099" stopIfTrue="1" id="{72B65787-C1F2-4064-9B12-B1F72446755F}">
            <xm:f>AND(IF(AE138='F:\Users\norela.briceno\Documents\Plan de acción\Plan Accion 2018\[Plan Accion Integrado ADRES Vigencia 2018 con Cuadro de Mando V6..xlsx]Plan de Accion 2018'!#REF!,AE138&lt;&gt;"N/A"))</xm:f>
            <x14:dxf>
              <fill>
                <patternFill>
                  <bgColor rgb="FF00B050"/>
                </patternFill>
              </fill>
            </x14:dxf>
          </x14:cfRule>
          <x14:cfRule type="expression" priority="4100" stopIfTrue="1" id="{620C08F6-501F-4BD6-B3DB-2BAF4997D441}">
            <xm:f>AND(IF(AE138&lt;'F:\Users\norela.briceno\Documents\Plan de acción\Plan Accion 2018\[Plan Accion Integrado ADRES Vigencia 2018 con Cuadro de Mando V6..xlsx]Plan de Accion 2018'!#REF!,AE138&lt;&gt;"N/A"))</xm:f>
            <x14:dxf>
              <fill>
                <patternFill>
                  <bgColor indexed="10"/>
                </patternFill>
              </fill>
            </x14:dxf>
          </x14:cfRule>
          <xm:sqref>AE138</xm:sqref>
        </x14:conditionalFormatting>
        <x14:conditionalFormatting xmlns:xm="http://schemas.microsoft.com/office/excel/2006/main">
          <x14:cfRule type="expression" priority="4020" id="{7E7AB151-3D6C-4513-B021-F42A840D26E0}">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4021" stopIfTrue="1" id="{59F0D56A-FE5D-4A8B-AD24-602F54F4059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4022" stopIfTrue="1" id="{7249F1C4-97C5-4A1B-A12F-7248B1B45919}">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4017" id="{022E460B-554E-4D0D-9FB8-77C2F45285E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4018" stopIfTrue="1" id="{9A5DE432-9A6E-40AE-9FBE-137DF9FDF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4019" stopIfTrue="1" id="{70A43652-CA96-4311-AE5C-4670908E8BB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4014" id="{2A5C1EEA-C5AB-4981-873B-F18DC4A52A36}">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4015" stopIfTrue="1" id="{B42B77E8-9FAB-4809-BC46-A119943472FF}">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4016" stopIfTrue="1" id="{405C68F7-B42D-4C8C-8013-0999BE5F6F40}">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4011" id="{D41205CA-355E-418B-8B0A-161974307BA1}">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4012" stopIfTrue="1" id="{5B694BE4-F5D1-4198-8A10-331178904DDE}">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4013" stopIfTrue="1" id="{8C40F4F2-26BB-4563-988F-600432512AD2}">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3881" id="{7DBC2EA4-C368-41FA-8947-15C1B157C7EB}">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3882" stopIfTrue="1" id="{91C23219-C55E-41CC-918E-17917FECE8CA}">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3883" stopIfTrue="1" id="{3CEBBA74-0B16-49DD-AF92-F7883436DD49}">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3878" id="{2C002E7F-8CBD-4CA6-AA13-54F09B4C4789}">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3879" stopIfTrue="1" id="{7C782CFC-2201-43D5-B96A-9FB31E7FD56F}">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3880" stopIfTrue="1" id="{464CA1D9-0765-440A-8058-E53144B4F8D2}">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3875" id="{2BB169EF-5EB7-43D8-8CC7-4A4872365A0B}">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3876" stopIfTrue="1" id="{FFFC77B1-E25A-4411-9057-2295F8B907E5}">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3877" stopIfTrue="1" id="{9F93C8A1-E3F1-4C6B-B92A-428518A13272}">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3872" id="{7C5E6692-CF7E-4787-8049-B7C7561AB91C}">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3873" stopIfTrue="1" id="{E3BAE310-B783-4D55-A2A8-4F10545C3161}">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3874" stopIfTrue="1" id="{3103E1F9-527C-4F75-85C8-AE2B6B3CF10B}">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3712" id="{E7F99BFB-0D43-430F-96DD-D785E25B536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713" stopIfTrue="1" id="{2FFA1D36-0A03-4FF6-8937-98FDBC05F970}">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714" stopIfTrue="1" id="{CAAF237B-DD9E-4746-93DE-CD10F5214EA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709" id="{EDAC4777-7DAC-4021-9E27-5EB85E7CE618}">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710" stopIfTrue="1" id="{20B27D53-DFFB-4865-BCFE-7D945019345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711" stopIfTrue="1" id="{CDB8720E-2244-4F16-8833-7F17B2005B8F}">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706" id="{8D553E34-7114-4A27-A195-9EBB86A76F6D}">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707" stopIfTrue="1" id="{831C5B5B-0CD1-49D1-A8FE-01D07208A23C}">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708" stopIfTrue="1" id="{A88DCB09-670F-44D0-952F-BE4D343780EC}">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849" id="{6751C40D-8669-48D4-B61A-244BA905C99D}">
            <xm:f>AND(IF(J31&gt;'F:\Users\norela.briceno\Documents\Plan de acción\Plan Accion 2018\[Plan Accion Integrado ADRES Vigencia 2018 con Cuadro de Mando V6..xlsx]Plan de Accion 2018'!#REF!,J31&lt;&gt;¨N/A¨))</xm:f>
            <x14:dxf>
              <fill>
                <patternFill>
                  <bgColor theme="1" tint="0.499984740745262"/>
                </patternFill>
              </fill>
            </x14:dxf>
          </x14:cfRule>
          <x14:cfRule type="expression" priority="3850" stopIfTrue="1" id="{9493F986-83B2-40FD-A063-A047C4C20108}">
            <xm:f>AND(IF(J31='F:\Users\norela.briceno\Documents\Plan de acción\Plan Accion 2018\[Plan Accion Integrado ADRES Vigencia 2018 con Cuadro de Mando V6..xlsx]Plan de Accion 2018'!#REF!,J31&lt;&gt;"N/A"))</xm:f>
            <x14:dxf>
              <fill>
                <patternFill>
                  <bgColor rgb="FF00B050"/>
                </patternFill>
              </fill>
            </x14:dxf>
          </x14:cfRule>
          <x14:cfRule type="expression" priority="3851" stopIfTrue="1" id="{35F5FD9A-8045-43C2-9E52-F05B9E6AED09}">
            <xm:f>AND(IF(J31&lt;'F:\Users\norela.briceno\Documents\Plan de acción\Plan Accion 2018\[Plan Accion Integrado ADRES Vigencia 2018 con Cuadro de Mando V6..xlsx]Plan de Accion 2018'!#REF!,J31&lt;&gt;"N/A"))</xm:f>
            <x14:dxf>
              <fill>
                <patternFill>
                  <bgColor indexed="10"/>
                </patternFill>
              </fill>
            </x14:dxf>
          </x14:cfRule>
          <xm:sqref>J31 Q31 AE31 X31</xm:sqref>
        </x14:conditionalFormatting>
        <x14:conditionalFormatting xmlns:xm="http://schemas.microsoft.com/office/excel/2006/main">
          <x14:cfRule type="expression" priority="3846" id="{F11B8569-D4F5-4A7C-B8EB-29A0825D7A93}">
            <xm:f>AND(IF(J31&gt;'F:\Users\norela.briceno\Documents\Plan de acción\Plan Accion 2018\[Plan Accion Integrado ADRES Vigencia 2018 con Cuadro de Mando V6..xlsx]Plan de Accion 2018'!#REF!,J31&lt;&gt;¨N/A¨))</xm:f>
            <x14:dxf>
              <fill>
                <patternFill>
                  <bgColor theme="1" tint="0.499984740745262"/>
                </patternFill>
              </fill>
            </x14:dxf>
          </x14:cfRule>
          <x14:cfRule type="expression" priority="3847" stopIfTrue="1" id="{32DBD465-4D39-47C0-BA8E-0C2111DA8353}">
            <xm:f>AND(IF(J31='F:\Users\norela.briceno\Documents\Plan de acción\Plan Accion 2018\[Plan Accion Integrado ADRES Vigencia 2018 con Cuadro de Mando V6..xlsx]Plan de Accion 2018'!#REF!,J31&lt;&gt;"N/A"))</xm:f>
            <x14:dxf>
              <fill>
                <patternFill>
                  <bgColor rgb="FF00B050"/>
                </patternFill>
              </fill>
            </x14:dxf>
          </x14:cfRule>
          <x14:cfRule type="expression" priority="3848" stopIfTrue="1" id="{7D9A615D-2FB5-4272-857F-CFC316C10E32}">
            <xm:f>AND(IF(J31&lt;'F:\Users\norela.briceno\Documents\Plan de acción\Plan Accion 2018\[Plan Accion Integrado ADRES Vigencia 2018 con Cuadro de Mando V6..xlsx]Plan de Accion 2018'!#REF!,J31&lt;&gt;"N/A"))</xm:f>
            <x14:dxf>
              <fill>
                <patternFill>
                  <bgColor indexed="10"/>
                </patternFill>
              </fill>
            </x14:dxf>
          </x14:cfRule>
          <xm:sqref>J31</xm:sqref>
        </x14:conditionalFormatting>
        <x14:conditionalFormatting xmlns:xm="http://schemas.microsoft.com/office/excel/2006/main">
          <x14:cfRule type="expression" priority="3843" id="{FFFC1D0D-10BE-4773-8127-39EE0662ABBC}">
            <xm:f>AND(IF(Q31&gt;'F:\Users\norela.briceno\Documents\Plan de acción\Plan Accion 2018\[Plan Accion Integrado ADRES Vigencia 2018 con Cuadro de Mando V6..xlsx]Plan de Accion 2018'!#REF!,Q31&lt;&gt;¨N/A¨))</xm:f>
            <x14:dxf>
              <fill>
                <patternFill>
                  <bgColor theme="1" tint="0.499984740745262"/>
                </patternFill>
              </fill>
            </x14:dxf>
          </x14:cfRule>
          <x14:cfRule type="expression" priority="3844" stopIfTrue="1" id="{4A51BE8F-49DD-4BF2-93ED-0C96364A439A}">
            <xm:f>AND(IF(Q31='F:\Users\norela.briceno\Documents\Plan de acción\Plan Accion 2018\[Plan Accion Integrado ADRES Vigencia 2018 con Cuadro de Mando V6..xlsx]Plan de Accion 2018'!#REF!,Q31&lt;&gt;"N/A"))</xm:f>
            <x14:dxf>
              <fill>
                <patternFill>
                  <bgColor rgb="FF00B050"/>
                </patternFill>
              </fill>
            </x14:dxf>
          </x14:cfRule>
          <x14:cfRule type="expression" priority="3845" stopIfTrue="1" id="{C5CE7576-3D91-4575-9F02-9E5FC7B60740}">
            <xm:f>AND(IF(Q31&lt;'F:\Users\norela.briceno\Documents\Plan de acción\Plan Accion 2018\[Plan Accion Integrado ADRES Vigencia 2018 con Cuadro de Mando V6..xlsx]Plan de Accion 2018'!#REF!,Q31&lt;&gt;"N/A"))</xm:f>
            <x14:dxf>
              <fill>
                <patternFill>
                  <bgColor indexed="10"/>
                </patternFill>
              </fill>
            </x14:dxf>
          </x14:cfRule>
          <xm:sqref>Q31</xm:sqref>
        </x14:conditionalFormatting>
        <x14:conditionalFormatting xmlns:xm="http://schemas.microsoft.com/office/excel/2006/main">
          <x14:cfRule type="expression" priority="3840" id="{C15FD457-6759-44B5-9CB9-5A0CA9068214}">
            <xm:f>AND(IF(X31&gt;'F:\Users\norela.briceno\Documents\Plan de acción\Plan Accion 2018\[Plan Accion Integrado ADRES Vigencia 2018 con Cuadro de Mando V6..xlsx]Plan de Accion 2018'!#REF!,X31&lt;&gt;¨N/A¨))</xm:f>
            <x14:dxf>
              <fill>
                <patternFill>
                  <bgColor theme="1" tint="0.499984740745262"/>
                </patternFill>
              </fill>
            </x14:dxf>
          </x14:cfRule>
          <x14:cfRule type="expression" priority="3841" stopIfTrue="1" id="{FEB5D436-85E7-405E-AEC7-A0240BB436F9}">
            <xm:f>AND(IF(X31='F:\Users\norela.briceno\Documents\Plan de acción\Plan Accion 2018\[Plan Accion Integrado ADRES Vigencia 2018 con Cuadro de Mando V6..xlsx]Plan de Accion 2018'!#REF!,X31&lt;&gt;"N/A"))</xm:f>
            <x14:dxf>
              <fill>
                <patternFill>
                  <bgColor rgb="FF00B050"/>
                </patternFill>
              </fill>
            </x14:dxf>
          </x14:cfRule>
          <x14:cfRule type="expression" priority="3842" stopIfTrue="1" id="{4DEFC661-C151-4625-BBAE-13ABDEB94A49}">
            <xm:f>AND(IF(X31&lt;'F:\Users\norela.briceno\Documents\Plan de acción\Plan Accion 2018\[Plan Accion Integrado ADRES Vigencia 2018 con Cuadro de Mando V6..xlsx]Plan de Accion 2018'!#REF!,X31&lt;&gt;"N/A"))</xm:f>
            <x14:dxf>
              <fill>
                <patternFill>
                  <bgColor indexed="10"/>
                </patternFill>
              </fill>
            </x14:dxf>
          </x14:cfRule>
          <xm:sqref>X31</xm:sqref>
        </x14:conditionalFormatting>
        <x14:conditionalFormatting xmlns:xm="http://schemas.microsoft.com/office/excel/2006/main">
          <x14:cfRule type="expression" priority="3837" id="{6517AC4F-0CDB-41A3-BDEB-FBB497AEAADB}">
            <xm:f>AND(IF(AE31&gt;'F:\Users\norela.briceno\Documents\Plan de acción\Plan Accion 2018\[Plan Accion Integrado ADRES Vigencia 2018 con Cuadro de Mando V6..xlsx]Plan de Accion 2018'!#REF!,AE31&lt;&gt;¨N/A¨))</xm:f>
            <x14:dxf>
              <fill>
                <patternFill>
                  <bgColor theme="1" tint="0.499984740745262"/>
                </patternFill>
              </fill>
            </x14:dxf>
          </x14:cfRule>
          <x14:cfRule type="expression" priority="3838" stopIfTrue="1" id="{FDF0A80E-4062-4C92-8A98-4FA66D763E02}">
            <xm:f>AND(IF(AE31='F:\Users\norela.briceno\Documents\Plan de acción\Plan Accion 2018\[Plan Accion Integrado ADRES Vigencia 2018 con Cuadro de Mando V6..xlsx]Plan de Accion 2018'!#REF!,AE31&lt;&gt;"N/A"))</xm:f>
            <x14:dxf>
              <fill>
                <patternFill>
                  <bgColor rgb="FF00B050"/>
                </patternFill>
              </fill>
            </x14:dxf>
          </x14:cfRule>
          <x14:cfRule type="expression" priority="3839" stopIfTrue="1" id="{5A43F19A-345B-4896-9748-360A2DB72D7D}">
            <xm:f>AND(IF(AE31&lt;'F:\Users\norela.briceno\Documents\Plan de acción\Plan Accion 2018\[Plan Accion Integrado ADRES Vigencia 2018 con Cuadro de Mando V6..xlsx]Plan de Accion 2018'!#REF!,AE31&lt;&gt;"N/A"))</xm:f>
            <x14:dxf>
              <fill>
                <patternFill>
                  <bgColor indexed="10"/>
                </patternFill>
              </fill>
            </x14:dxf>
          </x14:cfRule>
          <xm:sqref>AE31</xm:sqref>
        </x14:conditionalFormatting>
        <x14:conditionalFormatting xmlns:xm="http://schemas.microsoft.com/office/excel/2006/main">
          <x14:cfRule type="expression" priority="3759" id="{61F570B2-0934-4782-8BD3-C08F2A3DC0C1}">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3760" stopIfTrue="1" id="{01601896-10EE-4646-90F3-A410F6603D0C}">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3761" stopIfTrue="1" id="{F67F6E17-373F-4E2D-9BEC-B9D1210761C3}">
            <xm:f>AND(IF(Q170&lt;'F:\Users\norela.briceno\Documents\Plan de acción\Plan Accion 2018\[Plan Accion Integrado ADRES Vigencia 2018 con Cuadro de Mando V6..xlsx]Plan de Accion 2018'!#REF!,Q170&lt;&gt;"N/A"))</xm:f>
            <x14:dxf>
              <fill>
                <patternFill>
                  <bgColor indexed="10"/>
                </patternFill>
              </fill>
            </x14:dxf>
          </x14:cfRule>
          <xm:sqref>Q170 X170 AE170</xm:sqref>
        </x14:conditionalFormatting>
        <x14:conditionalFormatting xmlns:xm="http://schemas.microsoft.com/office/excel/2006/main">
          <x14:cfRule type="expression" priority="3753" id="{691C74E4-06BC-42ED-BCE3-BC23F94E7FFA}">
            <xm:f>AND(IF(X170&gt;'F:\Users\norela.briceno\Documents\Plan de acción\Plan Accion 2018\[Plan Accion Integrado ADRES Vigencia 2018 con Cuadro de Mando V6..xlsx]Plan de Accion 2018'!#REF!,X170&lt;&gt;¨N/A¨))</xm:f>
            <x14:dxf>
              <fill>
                <patternFill>
                  <bgColor theme="1" tint="0.499984740745262"/>
                </patternFill>
              </fill>
            </x14:dxf>
          </x14:cfRule>
          <x14:cfRule type="expression" priority="3754" stopIfTrue="1" id="{D9D3688C-44BC-4FC5-BC89-449CB2B2A01D}">
            <xm:f>AND(IF(X170='F:\Users\norela.briceno\Documents\Plan de acción\Plan Accion 2018\[Plan Accion Integrado ADRES Vigencia 2018 con Cuadro de Mando V6..xlsx]Plan de Accion 2018'!#REF!,X170&lt;&gt;"N/A"))</xm:f>
            <x14:dxf>
              <fill>
                <patternFill>
                  <bgColor rgb="FF00B050"/>
                </patternFill>
              </fill>
            </x14:dxf>
          </x14:cfRule>
          <x14:cfRule type="expression" priority="3755" stopIfTrue="1" id="{06BC77E6-E5BE-47B0-997F-003F519E3A3F}">
            <xm:f>AND(IF(X170&lt;'F:\Users\norela.briceno\Documents\Plan de acción\Plan Accion 2018\[Plan Accion Integrado ADRES Vigencia 2018 con Cuadro de Mando V6..xlsx]Plan de Accion 2018'!#REF!,X170&lt;&gt;"N/A"))</xm:f>
            <x14:dxf>
              <fill>
                <patternFill>
                  <bgColor indexed="10"/>
                </patternFill>
              </fill>
            </x14:dxf>
          </x14:cfRule>
          <xm:sqref>X170</xm:sqref>
        </x14:conditionalFormatting>
        <x14:conditionalFormatting xmlns:xm="http://schemas.microsoft.com/office/excel/2006/main">
          <x14:cfRule type="expression" priority="3750" id="{70D4C05E-5EC8-4A86-BCC0-731FFFAC683C}">
            <xm:f>AND(IF(AE170&gt;'F:\Users\norela.briceno\Documents\Plan de acción\Plan Accion 2018\[Plan Accion Integrado ADRES Vigencia 2018 con Cuadro de Mando V6..xlsx]Plan de Accion 2018'!#REF!,AE170&lt;&gt;¨N/A¨))</xm:f>
            <x14:dxf>
              <fill>
                <patternFill>
                  <bgColor theme="1" tint="0.499984740745262"/>
                </patternFill>
              </fill>
            </x14:dxf>
          </x14:cfRule>
          <x14:cfRule type="expression" priority="3751" stopIfTrue="1" id="{2023C1BB-E0F3-4DA9-8712-FDE308F29A68}">
            <xm:f>AND(IF(AE170='F:\Users\norela.briceno\Documents\Plan de acción\Plan Accion 2018\[Plan Accion Integrado ADRES Vigencia 2018 con Cuadro de Mando V6..xlsx]Plan de Accion 2018'!#REF!,AE170&lt;&gt;"N/A"))</xm:f>
            <x14:dxf>
              <fill>
                <patternFill>
                  <bgColor rgb="FF00B050"/>
                </patternFill>
              </fill>
            </x14:dxf>
          </x14:cfRule>
          <x14:cfRule type="expression" priority="3752" stopIfTrue="1" id="{D371046F-4F44-4820-A5D5-1AACD3BCCB45}">
            <xm:f>AND(IF(AE170&lt;'F:\Users\norela.briceno\Documents\Plan de acción\Plan Accion 2018\[Plan Accion Integrado ADRES Vigencia 2018 con Cuadro de Mando V6..xlsx]Plan de Accion 2018'!#REF!,AE170&lt;&gt;"N/A"))</xm:f>
            <x14:dxf>
              <fill>
                <patternFill>
                  <bgColor indexed="10"/>
                </patternFill>
              </fill>
            </x14:dxf>
          </x14:cfRule>
          <xm:sqref>AE170</xm:sqref>
        </x14:conditionalFormatting>
        <x14:conditionalFormatting xmlns:xm="http://schemas.microsoft.com/office/excel/2006/main">
          <x14:cfRule type="expression" priority="3756" id="{49E5822F-3ACE-4ACA-B2FC-D6807C39FA27}">
            <xm:f>AND(IF(Q170&gt;'F:\Users\norela.briceno\Documents\Plan de acción\Plan Accion 2018\[Plan Accion Integrado ADRES Vigencia 2018 con Cuadro de Mando V6..xlsx]Plan de Accion 2018'!#REF!,Q170&lt;&gt;¨N/A¨))</xm:f>
            <x14:dxf>
              <fill>
                <patternFill>
                  <bgColor theme="1" tint="0.499984740745262"/>
                </patternFill>
              </fill>
            </x14:dxf>
          </x14:cfRule>
          <x14:cfRule type="expression" priority="3757" stopIfTrue="1" id="{AD8FB662-3D71-4D56-9A73-CAA83C17B637}">
            <xm:f>AND(IF(Q170='F:\Users\norela.briceno\Documents\Plan de acción\Plan Accion 2018\[Plan Accion Integrado ADRES Vigencia 2018 con Cuadro de Mando V6..xlsx]Plan de Accion 2018'!#REF!,Q170&lt;&gt;"N/A"))</xm:f>
            <x14:dxf>
              <fill>
                <patternFill>
                  <bgColor rgb="FF00B050"/>
                </patternFill>
              </fill>
            </x14:dxf>
          </x14:cfRule>
          <x14:cfRule type="expression" priority="3758" stopIfTrue="1" id="{ABC758E9-75B1-4BC8-804B-F144CABD19E5}">
            <xm:f>AND(IF(Q170&lt;'F:\Users\norela.briceno\Documents\Plan de acción\Plan Accion 2018\[Plan Accion Integrado ADRES Vigencia 2018 con Cuadro de Mando V6..xlsx]Plan de Accion 2018'!#REF!,Q170&lt;&gt;"N/A"))</xm:f>
            <x14:dxf>
              <fill>
                <patternFill>
                  <bgColor indexed="10"/>
                </patternFill>
              </fill>
            </x14:dxf>
          </x14:cfRule>
          <xm:sqref>Q170</xm:sqref>
        </x14:conditionalFormatting>
        <x14:conditionalFormatting xmlns:xm="http://schemas.microsoft.com/office/excel/2006/main">
          <x14:cfRule type="expression" priority="3683" id="{D988741D-AC26-4077-9A12-AABEAFDF5B9D}">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3684" stopIfTrue="1" id="{5D6DB42E-6EFF-4E93-BAED-89958B8CCE9A}">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3685" stopIfTrue="1" id="{51FF34BE-C207-4F2F-92FA-E45FDCD9B303}">
            <xm:f>AND(IF(Q89&lt;'F:\Users\norela.briceno\Documents\Plan de acción\Plan Accion 2018\[Plan Accion Integrado ADRES Vigencia 2018 con Cuadro de Mando V6..xlsx]Plan de Accion 2018'!#REF!,Q89&lt;&gt;"N/A"))</xm:f>
            <x14:dxf>
              <fill>
                <patternFill>
                  <bgColor indexed="10"/>
                </patternFill>
              </fill>
            </x14:dxf>
          </x14:cfRule>
          <xm:sqref>Q89 AE89 X89</xm:sqref>
        </x14:conditionalFormatting>
        <x14:conditionalFormatting xmlns:xm="http://schemas.microsoft.com/office/excel/2006/main">
          <x14:cfRule type="expression" priority="3680" id="{96552F71-45F3-4D26-B6FC-1E0CDBAE42D5}">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3681" stopIfTrue="1" id="{584C5695-7BF8-4E95-918C-1F6CA18B7218}">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3682" stopIfTrue="1" id="{970D483E-371D-4BB5-B7EB-E1245A068682}">
            <xm:f>AND(IF(Q89&lt;'F:\Users\norela.briceno\Documents\Plan de acción\Plan Accion 2018\[Plan Accion Integrado ADRES Vigencia 2018 con Cuadro de Mando V6..xlsx]Plan de Accion 2018'!#REF!,Q89&lt;&gt;"N/A"))</xm:f>
            <x14:dxf>
              <fill>
                <patternFill>
                  <bgColor indexed="10"/>
                </patternFill>
              </fill>
            </x14:dxf>
          </x14:cfRule>
          <xm:sqref>Q89</xm:sqref>
        </x14:conditionalFormatting>
        <x14:conditionalFormatting xmlns:xm="http://schemas.microsoft.com/office/excel/2006/main">
          <x14:cfRule type="expression" priority="3677" id="{F564F33C-A1D3-4D39-A13D-C4E70364F2A9}">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3678" stopIfTrue="1" id="{F0E646FB-F1EA-47AE-AA73-3B4E1B31EEDA}">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3679" stopIfTrue="1" id="{7F7F2425-C801-4B22-B497-BAE76D7B4364}">
            <xm:f>AND(IF(X89&lt;'F:\Users\norela.briceno\Documents\Plan de acción\Plan Accion 2018\[Plan Accion Integrado ADRES Vigencia 2018 con Cuadro de Mando V6..xlsx]Plan de Accion 2018'!#REF!,X89&lt;&gt;"N/A"))</xm:f>
            <x14:dxf>
              <fill>
                <patternFill>
                  <bgColor indexed="10"/>
                </patternFill>
              </fill>
            </x14:dxf>
          </x14:cfRule>
          <xm:sqref>X89</xm:sqref>
        </x14:conditionalFormatting>
        <x14:conditionalFormatting xmlns:xm="http://schemas.microsoft.com/office/excel/2006/main">
          <x14:cfRule type="expression" priority="3674" id="{7C054BA0-C9FE-4E6B-88A6-038E1972D14E}">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3675" stopIfTrue="1" id="{EA7922E0-B3F4-48BB-A27A-5F8746EEC3E2}">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3676" stopIfTrue="1" id="{22F48144-5178-46B4-94D5-24D26F5A1A87}">
            <xm:f>AND(IF(AE89&lt;'F:\Users\norela.briceno\Documents\Plan de acción\Plan Accion 2018\[Plan Accion Integrado ADRES Vigencia 2018 con Cuadro de Mando V6..xlsx]Plan de Accion 2018'!#REF!,AE89&lt;&gt;"N/A"))</xm:f>
            <x14:dxf>
              <fill>
                <patternFill>
                  <bgColor indexed="10"/>
                </patternFill>
              </fill>
            </x14:dxf>
          </x14:cfRule>
          <xm:sqref>AE89</xm:sqref>
        </x14:conditionalFormatting>
        <x14:conditionalFormatting xmlns:xm="http://schemas.microsoft.com/office/excel/2006/main">
          <x14:cfRule type="expression" priority="3048" id="{302BB126-5B31-4418-9D1A-74E34DEFAB36}">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3049" stopIfTrue="1" id="{3CDC721A-D9BA-4C54-AF47-5A335EDB3C1D}">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3050" stopIfTrue="1" id="{D3933152-58EE-47C6-81DA-7646E67BE0EE}">
            <xm:f>AND(IF(Q121&lt;'F:\Users\norela.briceno\Documents\Plan de acción\Plan Accion 2018\[Plan Accion Integrado ADRES Vigencia 2018 con Cuadro de Mando V6..xlsx]Plan de Accion 2018'!#REF!,Q121&lt;&gt;"N/A"))</xm:f>
            <x14:dxf>
              <fill>
                <patternFill>
                  <bgColor indexed="10"/>
                </patternFill>
              </fill>
            </x14:dxf>
          </x14:cfRule>
          <xm:sqref>Q121 AE121 X121</xm:sqref>
        </x14:conditionalFormatting>
        <x14:conditionalFormatting xmlns:xm="http://schemas.microsoft.com/office/excel/2006/main">
          <x14:cfRule type="expression" priority="3045" id="{58833278-47E0-463E-B527-F00AC002D63B}">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3046" stopIfTrue="1" id="{468D2B93-76CD-4FD7-A5A7-5B01A98662DA}">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3047" stopIfTrue="1" id="{73B95AED-74B8-4CA9-A0F4-8F32F2F90381}">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3042" id="{ED96B3C8-D129-47AC-A209-803EE604E60D}">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3043" stopIfTrue="1" id="{91DB7D7A-C588-4D3B-BA3A-6FDDD9DA7ADC}">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3044" stopIfTrue="1" id="{1BA508A4-5721-4286-B6A4-CCD62AAD35B7}">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3039" id="{F6031405-C29E-4144-8A34-2980A9C9593F}">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3040" stopIfTrue="1" id="{3318C041-3F21-4CC6-B9D7-3109D6811973}">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3041" stopIfTrue="1" id="{9A4A1AD9-82DB-4E93-A46B-49EF7D55EF07}">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3213" id="{BA219B8F-000D-4B15-B3AC-3D6A2312F30C}">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3214" stopIfTrue="1" id="{B8750500-46D8-49AE-9BFE-4082EDA09F65}">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3215" stopIfTrue="1" id="{5D038064-3BF8-4B5B-80EE-DEFDD2C7BC1C}">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3210" id="{3653D81E-216E-436A-BA61-A759D7C06A20}">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3211" stopIfTrue="1" id="{53A37E02-350D-4717-AAB9-7CCD99FD2E64}">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3212" stopIfTrue="1" id="{A97A96E7-DD31-4688-88C8-EEC00A477ED8}">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3207" id="{BA1589B9-3A47-44D6-B9F0-75415E01DA6F}">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3208" stopIfTrue="1" id="{C17A611F-322E-45FC-B9F3-A5F6C84DEA62}">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3209" stopIfTrue="1" id="{867E8A44-88A8-4E6B-8AAF-F7CA3463DE36}">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3134" id="{B4728FAA-C203-4B69-9713-0B33CBBCF94D}">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3135" stopIfTrue="1" id="{79DAF3F8-4B9B-4ABF-B2F7-8C78BD4199D3}">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3136" stopIfTrue="1" id="{AAF32BEB-3D2D-4D1E-A8F9-DC74B1AEAD58}">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3131" id="{B2B64C03-A449-45BD-8D27-4C3D69E0BFA6}">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3132" stopIfTrue="1" id="{828C7571-3D0D-4830-A639-FAEAEC47E0B5}">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3133" stopIfTrue="1" id="{7DCAD0D6-E364-4B2F-8181-E294873122D4}">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3128" id="{1C1949C2-CCF2-4D98-8B17-988F4D3F17CE}">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3129" stopIfTrue="1" id="{59F73F53-1231-4E38-A7AA-F451D7864D8C}">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3130" stopIfTrue="1" id="{7F44870A-D97C-49F7-8E73-FF654DD1131F}">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3105" id="{3BA7FC9F-C9F1-475A-A9E3-85BCA1D4542D}">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3106" stopIfTrue="1" id="{7BD2C0D7-CA4F-4EBA-BCA5-543E2DCA4666}">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3107" stopIfTrue="1" id="{088510B5-3896-456A-AC23-DBC1D8E633CB}">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3102" id="{9CF82B6D-4F98-4B90-BB70-9128399732D2}">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3103" stopIfTrue="1" id="{2E238034-8059-41F4-A13D-A0BDD6B471F3}">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3104" stopIfTrue="1" id="{B71FB041-85D2-4335-9C50-525DFD41C908}">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3099" id="{F726D26D-06FE-434E-A66E-A5A100A2BC3C}">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3100" stopIfTrue="1" id="{6E5124F9-B2D7-468F-AC9A-8EA10A13AEF7}">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3101" stopIfTrue="1" id="{856501DF-3B3C-4717-B2C6-6413FEB83D1F}">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3096" id="{97A496E7-455E-439D-B5E6-276CC7C8A9E3}">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3097" stopIfTrue="1" id="{FF0954CE-3A86-44B0-AA92-16D97EABA41D}">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3098" stopIfTrue="1" id="{1BF117C0-CD20-49DB-9C30-1EEEC7ED4C58}">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746" id="{602CD7E8-BC32-498D-BE1F-890CF96958E3}">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2747" stopIfTrue="1" id="{887E1487-EF02-4A16-8983-FA7F1012523A}">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2748" stopIfTrue="1" id="{556A4987-359E-433C-97B7-363D84E30291}">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2743" id="{496FAE81-DC68-47EE-9658-8F9E70BC3B95}">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2744" stopIfTrue="1" id="{1ECDFB26-5B87-4A7B-87F0-3E7CDEE3B698}">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2745" stopIfTrue="1" id="{1E7C88D9-1189-409F-8990-CA8F14E7339A}">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2740" id="{40A9D0E4-BFC4-4665-951C-00D902A5F1B3}">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2741" stopIfTrue="1" id="{0E6877D6-D240-4912-825B-6AEFCA22F22D}">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2742" stopIfTrue="1" id="{CBEACE43-FAAC-45CB-98AC-A831C43938AA}">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2737" id="{945D6640-1410-40C4-9D1B-F9E3BE33BB1D}">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2738" stopIfTrue="1" id="{65DBE290-6133-4FA2-8AB5-74E4942BAC84}">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2739" stopIfTrue="1" id="{BA00C218-6E0A-4F51-80B0-973F5AC7BC79}">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2684" id="{2D2BA442-D9BD-4EC1-9E5A-0E09BC42FFCC}">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2685" stopIfTrue="1" id="{1ECF91F8-55D9-4209-95E5-6E6D91BAC30D}">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2686" stopIfTrue="1" id="{22DA0E9A-5E6A-4C4C-ACBE-01C1E095FA5D}">
            <xm:f>AND(IF(J303&lt;'F:\Users\norela.briceno\Documents\Plan de acción\Plan Accion 2018\[Plan Accion Integrado ADRES Vigencia 2018 con Cuadro de Mando V6..xlsx]Plan de Accion 2018'!#REF!,J303&lt;&gt;"N/A"))</xm:f>
            <x14:dxf>
              <fill>
                <patternFill>
                  <bgColor indexed="10"/>
                </patternFill>
              </fill>
            </x14:dxf>
          </x14:cfRule>
          <xm:sqref>J303 Q303 X303 AE303</xm:sqref>
        </x14:conditionalFormatting>
        <x14:conditionalFormatting xmlns:xm="http://schemas.microsoft.com/office/excel/2006/main">
          <x14:cfRule type="expression" priority="2591" id="{AE1F9C77-FDD5-4CD4-AEE0-C7F00EFFAA1C}">
            <xm:f>AND(IF(J135&gt;'F:\Users\norela.briceno\Documents\Plan de acción\Plan Accion 2018\[Plan Accion Integrado ADRES Vigencia 2018 con Cuadro de Mando V6..xlsx]Plan de Accion 2018'!#REF!,J135&lt;&gt;¨N/A¨))</xm:f>
            <x14:dxf>
              <fill>
                <patternFill>
                  <bgColor theme="1" tint="0.499984740745262"/>
                </patternFill>
              </fill>
            </x14:dxf>
          </x14:cfRule>
          <x14:cfRule type="expression" priority="2592" stopIfTrue="1" id="{17E93CC0-C63B-4475-98ED-EE079CB4BADF}">
            <xm:f>AND(IF(J135='F:\Users\norela.briceno\Documents\Plan de acción\Plan Accion 2018\[Plan Accion Integrado ADRES Vigencia 2018 con Cuadro de Mando V6..xlsx]Plan de Accion 2018'!#REF!,J135&lt;&gt;"N/A"))</xm:f>
            <x14:dxf>
              <fill>
                <patternFill>
                  <bgColor rgb="FF00B050"/>
                </patternFill>
              </fill>
            </x14:dxf>
          </x14:cfRule>
          <x14:cfRule type="expression" priority="2593" stopIfTrue="1" id="{E8ACF788-C6ED-4EC4-975A-BB7F0928B196}">
            <xm:f>AND(IF(J135&lt;'F:\Users\norela.briceno\Documents\Plan de acción\Plan Accion 2018\[Plan Accion Integrado ADRES Vigencia 2018 con Cuadro de Mando V6..xlsx]Plan de Accion 2018'!#REF!,J135&lt;&gt;"N/A"))</xm:f>
            <x14:dxf>
              <fill>
                <patternFill>
                  <bgColor indexed="10"/>
                </patternFill>
              </fill>
            </x14:dxf>
          </x14:cfRule>
          <xm:sqref>J135:J136</xm:sqref>
        </x14:conditionalFormatting>
        <x14:conditionalFormatting xmlns:xm="http://schemas.microsoft.com/office/excel/2006/main">
          <x14:cfRule type="expression" priority="2588" id="{265BC92A-C283-40E6-B4D8-C460BB7A3FD2}">
            <xm:f>AND(IF(Q135&gt;'F:\Users\norela.briceno\Documents\Plan de acción\Plan Accion 2018\[Plan Accion Integrado ADRES Vigencia 2018 con Cuadro de Mando V6..xlsx]Plan de Accion 2018'!#REF!,Q135&lt;&gt;¨N/A¨))</xm:f>
            <x14:dxf>
              <fill>
                <patternFill>
                  <bgColor theme="1" tint="0.499984740745262"/>
                </patternFill>
              </fill>
            </x14:dxf>
          </x14:cfRule>
          <x14:cfRule type="expression" priority="2589" stopIfTrue="1" id="{206441FC-9BCF-44F0-8352-C5CE2F376672}">
            <xm:f>AND(IF(Q135='F:\Users\norela.briceno\Documents\Plan de acción\Plan Accion 2018\[Plan Accion Integrado ADRES Vigencia 2018 con Cuadro de Mando V6..xlsx]Plan de Accion 2018'!#REF!,Q135&lt;&gt;"N/A"))</xm:f>
            <x14:dxf>
              <fill>
                <patternFill>
                  <bgColor rgb="FF00B050"/>
                </patternFill>
              </fill>
            </x14:dxf>
          </x14:cfRule>
          <x14:cfRule type="expression" priority="2590" stopIfTrue="1" id="{AE04547A-1923-434C-BBDD-D8F79E2BB5E7}">
            <xm:f>AND(IF(Q135&lt;'F:\Users\norela.briceno\Documents\Plan de acción\Plan Accion 2018\[Plan Accion Integrado ADRES Vigencia 2018 con Cuadro de Mando V6..xlsx]Plan de Accion 2018'!#REF!,Q135&lt;&gt;"N/A"))</xm:f>
            <x14:dxf>
              <fill>
                <patternFill>
                  <bgColor indexed="10"/>
                </patternFill>
              </fill>
            </x14:dxf>
          </x14:cfRule>
          <xm:sqref>Q135:Q136</xm:sqref>
        </x14:conditionalFormatting>
        <x14:conditionalFormatting xmlns:xm="http://schemas.microsoft.com/office/excel/2006/main">
          <x14:cfRule type="expression" priority="2585" id="{5BCB1227-C4B9-479E-9B52-C4590E4AA0AC}">
            <xm:f>AND(IF(X135&gt;'F:\Users\norela.briceno\Documents\Plan de acción\Plan Accion 2018\[Plan Accion Integrado ADRES Vigencia 2018 con Cuadro de Mando V6..xlsx]Plan de Accion 2018'!#REF!,X135&lt;&gt;¨N/A¨))</xm:f>
            <x14:dxf>
              <fill>
                <patternFill>
                  <bgColor theme="1" tint="0.499984740745262"/>
                </patternFill>
              </fill>
            </x14:dxf>
          </x14:cfRule>
          <x14:cfRule type="expression" priority="2586" stopIfTrue="1" id="{FBE3E364-ACD4-4E50-9751-EF9BD8A8E1B5}">
            <xm:f>AND(IF(X135='F:\Users\norela.briceno\Documents\Plan de acción\Plan Accion 2018\[Plan Accion Integrado ADRES Vigencia 2018 con Cuadro de Mando V6..xlsx]Plan de Accion 2018'!#REF!,X135&lt;&gt;"N/A"))</xm:f>
            <x14:dxf>
              <fill>
                <patternFill>
                  <bgColor rgb="FF00B050"/>
                </patternFill>
              </fill>
            </x14:dxf>
          </x14:cfRule>
          <x14:cfRule type="expression" priority="2587" stopIfTrue="1" id="{6D28D3E5-F49D-455D-A53F-729B8A456766}">
            <xm:f>AND(IF(X135&lt;'F:\Users\norela.briceno\Documents\Plan de acción\Plan Accion 2018\[Plan Accion Integrado ADRES Vigencia 2018 con Cuadro de Mando V6..xlsx]Plan de Accion 2018'!#REF!,X135&lt;&gt;"N/A"))</xm:f>
            <x14:dxf>
              <fill>
                <patternFill>
                  <bgColor indexed="10"/>
                </patternFill>
              </fill>
            </x14:dxf>
          </x14:cfRule>
          <xm:sqref>X135:X136</xm:sqref>
        </x14:conditionalFormatting>
        <x14:conditionalFormatting xmlns:xm="http://schemas.microsoft.com/office/excel/2006/main">
          <x14:cfRule type="expression" priority="2582" id="{F548B498-61D9-4342-9F2A-A7561A5147C4}">
            <xm:f>AND(IF(AE135&gt;'F:\Users\norela.briceno\Documents\Plan de acción\Plan Accion 2018\[Plan Accion Integrado ADRES Vigencia 2018 con Cuadro de Mando V6..xlsx]Plan de Accion 2018'!#REF!,AE135&lt;&gt;¨N/A¨))</xm:f>
            <x14:dxf>
              <fill>
                <patternFill>
                  <bgColor theme="1" tint="0.499984740745262"/>
                </patternFill>
              </fill>
            </x14:dxf>
          </x14:cfRule>
          <x14:cfRule type="expression" priority="2583" stopIfTrue="1" id="{F0ADC9ED-35A6-4F82-BCF6-0A24EEA1B016}">
            <xm:f>AND(IF(AE135='F:\Users\norela.briceno\Documents\Plan de acción\Plan Accion 2018\[Plan Accion Integrado ADRES Vigencia 2018 con Cuadro de Mando V6..xlsx]Plan de Accion 2018'!#REF!,AE135&lt;&gt;"N/A"))</xm:f>
            <x14:dxf>
              <fill>
                <patternFill>
                  <bgColor rgb="FF00B050"/>
                </patternFill>
              </fill>
            </x14:dxf>
          </x14:cfRule>
          <x14:cfRule type="expression" priority="2584" stopIfTrue="1" id="{4C351E4E-C535-4BA7-9B0B-D8A4AFBCE771}">
            <xm:f>AND(IF(AE135&lt;'F:\Users\norela.briceno\Documents\Plan de acción\Plan Accion 2018\[Plan Accion Integrado ADRES Vigencia 2018 con Cuadro de Mando V6..xlsx]Plan de Accion 2018'!#REF!,AE135&lt;&gt;"N/A"))</xm:f>
            <x14:dxf>
              <fill>
                <patternFill>
                  <bgColor indexed="10"/>
                </patternFill>
              </fill>
            </x14:dxf>
          </x14:cfRule>
          <xm:sqref>AE135:AE136</xm:sqref>
        </x14:conditionalFormatting>
        <x14:conditionalFormatting xmlns:xm="http://schemas.microsoft.com/office/excel/2006/main">
          <x14:cfRule type="expression" priority="2519" id="{A38C7D23-21FC-42E3-BC13-086FE5CBBC30}">
            <xm:f>AND(IF(J56&gt;'F:\Users\norela.briceno\Documents\Plan de acción\Plan Accion 2018\[Plan Accion Integrado ADRES Vigencia 2018 con Cuadro de Mando V6..xlsx]Plan de Accion 2018'!#REF!,J56&lt;&gt;¨N/A¨))</xm:f>
            <x14:dxf>
              <fill>
                <patternFill>
                  <bgColor theme="1" tint="0.499984740745262"/>
                </patternFill>
              </fill>
            </x14:dxf>
          </x14:cfRule>
          <x14:cfRule type="expression" priority="2520" stopIfTrue="1" id="{60514FF1-EF50-4ED1-8FED-1CA16ABF0811}">
            <xm:f>AND(IF(J56='F:\Users\norela.briceno\Documents\Plan de acción\Plan Accion 2018\[Plan Accion Integrado ADRES Vigencia 2018 con Cuadro de Mando V6..xlsx]Plan de Accion 2018'!#REF!,J56&lt;&gt;"N/A"))</xm:f>
            <x14:dxf>
              <fill>
                <patternFill>
                  <bgColor rgb="FF00B050"/>
                </patternFill>
              </fill>
            </x14:dxf>
          </x14:cfRule>
          <x14:cfRule type="expression" priority="2521" stopIfTrue="1" id="{A1EB86BE-0A91-4172-A07D-EE2E8A7AAE8B}">
            <xm:f>AND(IF(J56&lt;'F:\Users\norela.briceno\Documents\Plan de acción\Plan Accion 2018\[Plan Accion Integrado ADRES Vigencia 2018 con Cuadro de Mando V6..xlsx]Plan de Accion 2018'!#REF!,J56&lt;&gt;"N/A"))</xm:f>
            <x14:dxf>
              <fill>
                <patternFill>
                  <bgColor indexed="10"/>
                </patternFill>
              </fill>
            </x14:dxf>
          </x14:cfRule>
          <xm:sqref>J56 Q56</xm:sqref>
        </x14:conditionalFormatting>
        <x14:conditionalFormatting xmlns:xm="http://schemas.microsoft.com/office/excel/2006/main">
          <x14:cfRule type="expression" priority="2516" id="{282FF075-EDD1-46E0-B570-ED29AE1B9C31}">
            <xm:f>AND(IF(J56&gt;'F:\Users\norela.briceno\Documents\Plan de acción\Plan Accion 2018\[Plan Accion Integrado ADRES Vigencia 2018 con Cuadro de Mando V6..xlsx]Plan de Accion 2018'!#REF!,J56&lt;&gt;¨N/A¨))</xm:f>
            <x14:dxf>
              <fill>
                <patternFill>
                  <bgColor theme="1" tint="0.499984740745262"/>
                </patternFill>
              </fill>
            </x14:dxf>
          </x14:cfRule>
          <x14:cfRule type="expression" priority="2517" stopIfTrue="1" id="{4A25C859-9FB5-4496-AB92-413FD3BAE319}">
            <xm:f>AND(IF(J56='F:\Users\norela.briceno\Documents\Plan de acción\Plan Accion 2018\[Plan Accion Integrado ADRES Vigencia 2018 con Cuadro de Mando V6..xlsx]Plan de Accion 2018'!#REF!,J56&lt;&gt;"N/A"))</xm:f>
            <x14:dxf>
              <fill>
                <patternFill>
                  <bgColor rgb="FF00B050"/>
                </patternFill>
              </fill>
            </x14:dxf>
          </x14:cfRule>
          <x14:cfRule type="expression" priority="2518" stopIfTrue="1" id="{62A58126-ABA9-42D4-B7F5-4DF12232ABDA}">
            <xm:f>AND(IF(J56&lt;'F:\Users\norela.briceno\Documents\Plan de acción\Plan Accion 2018\[Plan Accion Integrado ADRES Vigencia 2018 con Cuadro de Mando V6..xlsx]Plan de Accion 2018'!#REF!,J56&lt;&gt;"N/A"))</xm:f>
            <x14:dxf>
              <fill>
                <patternFill>
                  <bgColor indexed="10"/>
                </patternFill>
              </fill>
            </x14:dxf>
          </x14:cfRule>
          <xm:sqref>J56</xm:sqref>
        </x14:conditionalFormatting>
        <x14:conditionalFormatting xmlns:xm="http://schemas.microsoft.com/office/excel/2006/main">
          <x14:cfRule type="expression" priority="2513" id="{FE19A034-C138-4048-9FA9-5F60383D2D1D}">
            <xm:f>AND(IF(Q56&gt;'F:\Users\norela.briceno\Documents\Plan de acción\Plan Accion 2018\[Plan Accion Integrado ADRES Vigencia 2018 con Cuadro de Mando V6..xlsx]Plan de Accion 2018'!#REF!,Q56&lt;&gt;¨N/A¨))</xm:f>
            <x14:dxf>
              <fill>
                <patternFill>
                  <bgColor theme="1" tint="0.499984740745262"/>
                </patternFill>
              </fill>
            </x14:dxf>
          </x14:cfRule>
          <x14:cfRule type="expression" priority="2514" stopIfTrue="1" id="{CB6987C7-17C8-4852-A63A-88CB043BC1FC}">
            <xm:f>AND(IF(Q56='F:\Users\norela.briceno\Documents\Plan de acción\Plan Accion 2018\[Plan Accion Integrado ADRES Vigencia 2018 con Cuadro de Mando V6..xlsx]Plan de Accion 2018'!#REF!,Q56&lt;&gt;"N/A"))</xm:f>
            <x14:dxf>
              <fill>
                <patternFill>
                  <bgColor rgb="FF00B050"/>
                </patternFill>
              </fill>
            </x14:dxf>
          </x14:cfRule>
          <x14:cfRule type="expression" priority="2515" stopIfTrue="1" id="{58CBED7D-96CA-4FDC-8BDC-9025C936CB25}">
            <xm:f>AND(IF(Q56&lt;'F:\Users\norela.briceno\Documents\Plan de acción\Plan Accion 2018\[Plan Accion Integrado ADRES Vigencia 2018 con Cuadro de Mando V6..xlsx]Plan de Accion 2018'!#REF!,Q56&lt;&gt;"N/A"))</xm:f>
            <x14:dxf>
              <fill>
                <patternFill>
                  <bgColor indexed="10"/>
                </patternFill>
              </fill>
            </x14:dxf>
          </x14:cfRule>
          <xm:sqref>Q56</xm:sqref>
        </x14:conditionalFormatting>
        <x14:conditionalFormatting xmlns:xm="http://schemas.microsoft.com/office/excel/2006/main">
          <x14:cfRule type="expression" priority="2399" id="{840DBA37-6C30-481D-AFAD-9667498F2D26}">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2400" stopIfTrue="1" id="{3AE5F2D1-523F-4169-B6A4-4506FAB45EA8}">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2401" stopIfTrue="1" id="{E9A91ACA-4811-432E-9B21-ADC017D4633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2396" id="{5EBA3657-85BA-4745-9B5D-0388C0E51572}">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2397" stopIfTrue="1" id="{D3226073-BD3D-4524-B39F-FF585E3619FB}">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2398" stopIfTrue="1" id="{044304B6-CAC2-4A07-B9F9-EBF7E37BCC9D}">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2393" id="{91ACDC5D-88E6-4F01-ABBD-8E50A71BD3EC}">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2394" stopIfTrue="1" id="{365CB766-BB38-4E41-A973-6CD8C428F64F}">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2395" stopIfTrue="1" id="{FA27FC7D-C3E2-4178-A0BF-E721B50E9935}">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2390" id="{5DD083DE-44C4-4C9B-9580-88E77B557D8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391" stopIfTrue="1" id="{2F00E5EC-DE5D-477A-BCF0-387F0253BD0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392" stopIfTrue="1" id="{584F9515-EB8A-4E80-BCE2-CA9422D3C242}">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347" id="{5AE349D5-8FEF-4E8F-9DD6-BB8BF0673F69}">
            <xm:f>AND(IF(X56&gt;'F:\Users\norela.briceno\Documents\Plan de acción\Plan Accion 2018\[Plan Accion Integrado ADRES Vigencia 2018 con Cuadro de Mando V6..xlsx]Plan de Accion 2018'!#REF!,X56&lt;&gt;¨N/A¨))</xm:f>
            <x14:dxf>
              <fill>
                <patternFill>
                  <bgColor theme="1" tint="0.499984740745262"/>
                </patternFill>
              </fill>
            </x14:dxf>
          </x14:cfRule>
          <x14:cfRule type="expression" priority="2348" stopIfTrue="1" id="{B3013F19-0546-4CA9-A7B4-E4C9CA48B0D2}">
            <xm:f>AND(IF(X56='F:\Users\norela.briceno\Documents\Plan de acción\Plan Accion 2018\[Plan Accion Integrado ADRES Vigencia 2018 con Cuadro de Mando V6..xlsx]Plan de Accion 2018'!#REF!,X56&lt;&gt;"N/A"))</xm:f>
            <x14:dxf>
              <fill>
                <patternFill>
                  <bgColor rgb="FF00B050"/>
                </patternFill>
              </fill>
            </x14:dxf>
          </x14:cfRule>
          <x14:cfRule type="expression" priority="2349" stopIfTrue="1" id="{8D0BFDD9-1EEA-4DC1-986F-57478431DF91}">
            <xm:f>AND(IF(X56&lt;'F:\Users\norela.briceno\Documents\Plan de acción\Plan Accion 2018\[Plan Accion Integrado ADRES Vigencia 2018 con Cuadro de Mando V6..xlsx]Plan de Accion 2018'!#REF!,X56&lt;&gt;"N/A"))</xm:f>
            <x14:dxf>
              <fill>
                <patternFill>
                  <bgColor indexed="10"/>
                </patternFill>
              </fill>
            </x14:dxf>
          </x14:cfRule>
          <xm:sqref>X56 AE56</xm:sqref>
        </x14:conditionalFormatting>
        <x14:conditionalFormatting xmlns:xm="http://schemas.microsoft.com/office/excel/2006/main">
          <x14:cfRule type="expression" priority="2179" id="{800322B1-2AD2-403B-9472-11850BD5FBF6}">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2180" stopIfTrue="1" id="{78A372DF-952F-476D-B559-EEAADCE3A314}">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2181" stopIfTrue="1" id="{C8EADEC5-05C8-4916-9E51-9B9ABB4BFD53}">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2176" id="{E636E4D7-21B8-43F0-B960-0A0AA27C0DF5}">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2177" stopIfTrue="1" id="{0C0DFA1A-940F-41AB-9558-51A30EEED6C0}">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2178" stopIfTrue="1" id="{A6CD7433-7773-4432-B6CD-93EE0E66B248}">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2173" id="{D67DF87B-ECC3-4B5B-B3AC-0AE9B0671B63}">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2174" stopIfTrue="1" id="{0FC75A90-A530-4F09-A6E6-79FDA55EAE93}">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2175" stopIfTrue="1" id="{BD1DA7A8-29D0-4E88-BC7E-D2E3BCAFAA2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2170" id="{A4277784-BEB0-4EAE-B535-80E310D8344C}">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2171" stopIfTrue="1" id="{65B84A2D-1BFB-404D-9E53-CBD9711305CA}">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2172" stopIfTrue="1" id="{D279B7CF-0991-414A-B6EC-603E728A2DE8}">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2167" id="{2B3A6881-6498-4DF2-9277-9260D273C4C2}">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2168" stopIfTrue="1" id="{83307F71-0BCC-4AC9-992A-46E7322E6EA1}">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2169" stopIfTrue="1" id="{766BC5E5-86F6-410F-A0C2-0D7FF40ECC8A}">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2084" id="{01BD01AB-AB97-401D-AA0C-AF053BFFB0A7}">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2085" stopIfTrue="1" id="{6A760AD4-2DD0-4058-BF25-241124174528}">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2086" stopIfTrue="1" id="{C2120111-F412-4B58-B65E-87E2D2366CDF}">
            <xm:f>AND(IF(J355&lt;'F:\Users\norela.briceno\Documents\Plan de acción\Plan Accion 2018\[Plan Accion Integrado ADRES Vigencia 2018 con Cuadro de Mando V6..xlsx]Plan de Accion 2018'!#REF!,J355&lt;&gt;"N/A"))</xm:f>
            <x14:dxf>
              <fill>
                <patternFill>
                  <bgColor indexed="10"/>
                </patternFill>
              </fill>
            </x14:dxf>
          </x14:cfRule>
          <xm:sqref>J355</xm:sqref>
        </x14:conditionalFormatting>
        <x14:conditionalFormatting xmlns:xm="http://schemas.microsoft.com/office/excel/2006/main">
          <x14:cfRule type="expression" priority="2002" id="{8F0FA9A4-3F1A-4F59-83A7-2A27251A29DB}">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2003" stopIfTrue="1" id="{75A286E9-7328-4904-AE66-C29A9860E4C7}">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2004" stopIfTrue="1" id="{8F783FC7-FF8F-4306-8812-1354B0B5F547}">
            <xm:f>AND(IF(Q355&lt;'F:\Users\norela.briceno\Documents\Plan de acción\Plan Accion 2018\[Plan Accion Integrado ADRES Vigencia 2018 con Cuadro de Mando V6..xlsx]Plan de Accion 2018'!#REF!,Q355&lt;&gt;"N/A"))</xm:f>
            <x14:dxf>
              <fill>
                <patternFill>
                  <bgColor indexed="10"/>
                </patternFill>
              </fill>
            </x14:dxf>
          </x14:cfRule>
          <xm:sqref>Q355</xm:sqref>
        </x14:conditionalFormatting>
        <x14:conditionalFormatting xmlns:xm="http://schemas.microsoft.com/office/excel/2006/main">
          <x14:cfRule type="expression" priority="1929" id="{6F59AD7B-FA33-4C89-85A4-9001EADFE1F5}">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1930" stopIfTrue="1" id="{2BDA1826-05DC-4BB8-9B4D-4DFC517EB481}">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1931" stopIfTrue="1" id="{059279B0-4702-437A-9CA5-C4BCE7063514}">
            <xm:f>AND(IF(X355&lt;'F:\Users\norela.briceno\Documents\Plan de acción\Plan Accion 2018\[Plan Accion Integrado ADRES Vigencia 2018 con Cuadro de Mando V6..xlsx]Plan de Accion 2018'!#REF!,X355&lt;&gt;"N/A"))</xm:f>
            <x14:dxf>
              <fill>
                <patternFill>
                  <bgColor indexed="10"/>
                </patternFill>
              </fill>
            </x14:dxf>
          </x14:cfRule>
          <xm:sqref>X355</xm:sqref>
        </x14:conditionalFormatting>
        <x14:conditionalFormatting xmlns:xm="http://schemas.microsoft.com/office/excel/2006/main">
          <x14:cfRule type="expression" priority="1926" id="{1EC42934-15EC-4C4B-9178-897B51337A00}">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1927" stopIfTrue="1" id="{F29E128A-06C3-4B6B-B1E1-63748059E027}">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1928" stopIfTrue="1" id="{89B55203-D037-486A-B1FC-CEF00A8AB4EB}">
            <xm:f>AND(IF(AE355&lt;'F:\Users\norela.briceno\Documents\Plan de acción\Plan Accion 2018\[Plan Accion Integrado ADRES Vigencia 2018 con Cuadro de Mando V6..xlsx]Plan de Accion 2018'!#REF!,AE355&lt;&gt;"N/A"))</xm:f>
            <x14:dxf>
              <fill>
                <patternFill>
                  <bgColor indexed="10"/>
                </patternFill>
              </fill>
            </x14:dxf>
          </x14:cfRule>
          <xm:sqref>AE355</xm:sqref>
        </x14:conditionalFormatting>
        <x14:conditionalFormatting xmlns:xm="http://schemas.microsoft.com/office/excel/2006/main">
          <x14:cfRule type="expression" priority="1758" id="{789CB4A6-2E3F-4AA5-8F0D-EFA726E21279}">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759" stopIfTrue="1" id="{6F409A15-B6F9-433F-9055-1D7FDFEFF8DB}">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760" stopIfTrue="1" id="{6EA42FF7-9F95-4D78-8A5F-5CD94EB4A1CA}">
            <xm:f>AND(IF(J286&lt;'F:\Users\norela.briceno\Documents\Plan de acción\Plan Accion 2018\[Plan Accion Integrado ADRES Vigencia 2018 con Cuadro de Mando V6..xlsx]Plan de Accion 2018'!#REF!,J286&lt;&gt;"N/A"))</xm:f>
            <x14:dxf>
              <fill>
                <patternFill>
                  <bgColor indexed="10"/>
                </patternFill>
              </fill>
            </x14:dxf>
          </x14:cfRule>
          <xm:sqref>AE286 X286 Q286 J286</xm:sqref>
        </x14:conditionalFormatting>
        <x14:conditionalFormatting xmlns:xm="http://schemas.microsoft.com/office/excel/2006/main">
          <x14:cfRule type="expression" priority="1680" id="{10806B3D-A517-4572-A4D3-DFBB682C886D}">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681" stopIfTrue="1" id="{53E856AC-6971-48C0-9D78-E2798053EB51}">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682" stopIfTrue="1" id="{B132E29B-8A8F-43DC-8303-7D1D0692283E}">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677" id="{C13C26B5-10FB-4AF3-B88A-3153729D7656}">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678" stopIfTrue="1" id="{6B97EC98-1A84-4354-91A1-0CFF0823A93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679" stopIfTrue="1" id="{6C5E78D5-F10F-4581-BAF5-DD2952D88DC9}">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1079" id="{2EB0916D-7FE7-4046-AE0F-471ACF0F8909}">
            <xm:f>AND(IF(J90&gt;'F:\Users\norela.briceno\Documents\Plan de acción\Plan Accion 2018\[Plan Accion Integrado ADRES Vigencia 2018 con Cuadro de Mando V6..xlsx]Plan de Accion 2018'!#REF!,J90&lt;&gt;¨N/A¨))</xm:f>
            <x14:dxf>
              <fill>
                <patternFill>
                  <bgColor theme="1" tint="0.499984740745262"/>
                </patternFill>
              </fill>
            </x14:dxf>
          </x14:cfRule>
          <x14:cfRule type="expression" priority="1080" stopIfTrue="1" id="{95465A60-0927-4C18-AF6B-5F5CB46F4573}">
            <xm:f>AND(IF(J90='F:\Users\norela.briceno\Documents\Plan de acción\Plan Accion 2018\[Plan Accion Integrado ADRES Vigencia 2018 con Cuadro de Mando V6..xlsx]Plan de Accion 2018'!#REF!,J90&lt;&gt;"N/A"))</xm:f>
            <x14:dxf>
              <fill>
                <patternFill>
                  <bgColor rgb="FF00B050"/>
                </patternFill>
              </fill>
            </x14:dxf>
          </x14:cfRule>
          <x14:cfRule type="expression" priority="1081" stopIfTrue="1" id="{A9EA05F7-B5A3-46F8-8E34-FB9BD6483883}">
            <xm:f>AND(IF(J90&lt;'F:\Users\norela.briceno\Documents\Plan de acción\Plan Accion 2018\[Plan Accion Integrado ADRES Vigencia 2018 con Cuadro de Mando V6..xlsx]Plan de Accion 2018'!#REF!,J90&lt;&gt;"N/A"))</xm:f>
            <x14:dxf>
              <fill>
                <patternFill>
                  <bgColor indexed="10"/>
                </patternFill>
              </fill>
            </x14:dxf>
          </x14:cfRule>
          <xm:sqref>J90:J91</xm:sqref>
        </x14:conditionalFormatting>
        <x14:conditionalFormatting xmlns:xm="http://schemas.microsoft.com/office/excel/2006/main">
          <x14:cfRule type="expression" priority="1076" id="{09417E44-5993-4491-B55A-7BB5CD6714C7}">
            <xm:f>AND(IF(J90&gt;'F:\Users\norela.briceno\Documents\Plan de acción\Plan Accion 2018\[Plan Accion Integrado ADRES Vigencia 2018 con Cuadro de Mando V6..xlsx]Plan de Accion 2018'!#REF!,J90&lt;&gt;¨N/A¨))</xm:f>
            <x14:dxf>
              <fill>
                <patternFill>
                  <bgColor theme="1" tint="0.499984740745262"/>
                </patternFill>
              </fill>
            </x14:dxf>
          </x14:cfRule>
          <x14:cfRule type="expression" priority="1077" stopIfTrue="1" id="{51E7807E-8274-4AFF-9ED9-6A844832FDB5}">
            <xm:f>AND(IF(J90='F:\Users\norela.briceno\Documents\Plan de acción\Plan Accion 2018\[Plan Accion Integrado ADRES Vigencia 2018 con Cuadro de Mando V6..xlsx]Plan de Accion 2018'!#REF!,J90&lt;&gt;"N/A"))</xm:f>
            <x14:dxf>
              <fill>
                <patternFill>
                  <bgColor rgb="FF00B050"/>
                </patternFill>
              </fill>
            </x14:dxf>
          </x14:cfRule>
          <x14:cfRule type="expression" priority="1078" stopIfTrue="1" id="{10DDDF53-9548-4CC6-8CD1-FA9F04E16B4B}">
            <xm:f>AND(IF(J90&lt;'F:\Users\norela.briceno\Documents\Plan de acción\Plan Accion 2018\[Plan Accion Integrado ADRES Vigencia 2018 con Cuadro de Mando V6..xlsx]Plan de Accion 2018'!#REF!,J90&lt;&gt;"N/A"))</xm:f>
            <x14:dxf>
              <fill>
                <patternFill>
                  <bgColor indexed="10"/>
                </patternFill>
              </fill>
            </x14:dxf>
          </x14:cfRule>
          <xm:sqref>J90:J91</xm:sqref>
        </x14:conditionalFormatting>
        <x14:conditionalFormatting xmlns:xm="http://schemas.microsoft.com/office/excel/2006/main">
          <x14:cfRule type="expression" priority="1028" id="{9A2058FE-5F50-4888-82BE-197016C65C43}">
            <xm:f>AND(IF(Q90&gt;'F:\Users\norela.briceno\Documents\Plan de acción\Plan Accion 2018\[Plan Accion Integrado ADRES Vigencia 2018 con Cuadro de Mando V6..xlsx]Plan de Accion 2018'!#REF!,Q90&lt;&gt;¨N/A¨))</xm:f>
            <x14:dxf>
              <fill>
                <patternFill>
                  <bgColor theme="1" tint="0.499984740745262"/>
                </patternFill>
              </fill>
            </x14:dxf>
          </x14:cfRule>
          <x14:cfRule type="expression" priority="1029" stopIfTrue="1" id="{99A30C0A-22A5-4A05-8F86-F0EA82FEBFD5}">
            <xm:f>AND(IF(Q90='F:\Users\norela.briceno\Documents\Plan de acción\Plan Accion 2018\[Plan Accion Integrado ADRES Vigencia 2018 con Cuadro de Mando V6..xlsx]Plan de Accion 2018'!#REF!,Q90&lt;&gt;"N/A"))</xm:f>
            <x14:dxf>
              <fill>
                <patternFill>
                  <bgColor rgb="FF00B050"/>
                </patternFill>
              </fill>
            </x14:dxf>
          </x14:cfRule>
          <x14:cfRule type="expression" priority="1030" stopIfTrue="1" id="{9A703706-507E-486E-A9EB-26B0D40B6F45}">
            <xm:f>AND(IF(Q90&lt;'F:\Users\norela.briceno\Documents\Plan de acción\Plan Accion 2018\[Plan Accion Integrado ADRES Vigencia 2018 con Cuadro de Mando V6..xlsx]Plan de Accion 2018'!#REF!,Q90&lt;&gt;"N/A"))</xm:f>
            <x14:dxf>
              <fill>
                <patternFill>
                  <bgColor indexed="10"/>
                </patternFill>
              </fill>
            </x14:dxf>
          </x14:cfRule>
          <xm:sqref>Q90:Q91 AE90:AE91 X90:X91</xm:sqref>
        </x14:conditionalFormatting>
        <x14:conditionalFormatting xmlns:xm="http://schemas.microsoft.com/office/excel/2006/main">
          <x14:cfRule type="expression" priority="1025" id="{452F9CCB-7A10-4340-9E63-6C955C27AE1A}">
            <xm:f>AND(IF(Q90&gt;'F:\Users\norela.briceno\Documents\Plan de acción\Plan Accion 2018\[Plan Accion Integrado ADRES Vigencia 2018 con Cuadro de Mando V6..xlsx]Plan de Accion 2018'!#REF!,Q90&lt;&gt;¨N/A¨))</xm:f>
            <x14:dxf>
              <fill>
                <patternFill>
                  <bgColor theme="1" tint="0.499984740745262"/>
                </patternFill>
              </fill>
            </x14:dxf>
          </x14:cfRule>
          <x14:cfRule type="expression" priority="1026" stopIfTrue="1" id="{C360B52B-32C1-4B2C-9E11-3D04C432D196}">
            <xm:f>AND(IF(Q90='F:\Users\norela.briceno\Documents\Plan de acción\Plan Accion 2018\[Plan Accion Integrado ADRES Vigencia 2018 con Cuadro de Mando V6..xlsx]Plan de Accion 2018'!#REF!,Q90&lt;&gt;"N/A"))</xm:f>
            <x14:dxf>
              <fill>
                <patternFill>
                  <bgColor rgb="FF00B050"/>
                </patternFill>
              </fill>
            </x14:dxf>
          </x14:cfRule>
          <x14:cfRule type="expression" priority="1027" stopIfTrue="1" id="{7CF9F781-30E7-459D-BD0A-D1ED2D7CE2E7}">
            <xm:f>AND(IF(Q90&lt;'F:\Users\norela.briceno\Documents\Plan de acción\Plan Accion 2018\[Plan Accion Integrado ADRES Vigencia 2018 con Cuadro de Mando V6..xlsx]Plan de Accion 2018'!#REF!,Q90&lt;&gt;"N/A"))</xm:f>
            <x14:dxf>
              <fill>
                <patternFill>
                  <bgColor indexed="10"/>
                </patternFill>
              </fill>
            </x14:dxf>
          </x14:cfRule>
          <xm:sqref>Q90:Q91</xm:sqref>
        </x14:conditionalFormatting>
        <x14:conditionalFormatting xmlns:xm="http://schemas.microsoft.com/office/excel/2006/main">
          <x14:cfRule type="expression" priority="1022" id="{15A9B208-1BD8-4FFD-B5D2-BCB816112F18}">
            <xm:f>AND(IF(X90&gt;'F:\Users\norela.briceno\Documents\Plan de acción\Plan Accion 2018\[Plan Accion Integrado ADRES Vigencia 2018 con Cuadro de Mando V6..xlsx]Plan de Accion 2018'!#REF!,X90&lt;&gt;¨N/A¨))</xm:f>
            <x14:dxf>
              <fill>
                <patternFill>
                  <bgColor theme="1" tint="0.499984740745262"/>
                </patternFill>
              </fill>
            </x14:dxf>
          </x14:cfRule>
          <x14:cfRule type="expression" priority="1023" stopIfTrue="1" id="{46D31EDB-83E2-44FA-88E6-4A60B0FEC3E7}">
            <xm:f>AND(IF(X90='F:\Users\norela.briceno\Documents\Plan de acción\Plan Accion 2018\[Plan Accion Integrado ADRES Vigencia 2018 con Cuadro de Mando V6..xlsx]Plan de Accion 2018'!#REF!,X90&lt;&gt;"N/A"))</xm:f>
            <x14:dxf>
              <fill>
                <patternFill>
                  <bgColor rgb="FF00B050"/>
                </patternFill>
              </fill>
            </x14:dxf>
          </x14:cfRule>
          <x14:cfRule type="expression" priority="1024" stopIfTrue="1" id="{C2AFF670-6B0B-4B6E-ACB4-7278B8B835A0}">
            <xm:f>AND(IF(X90&lt;'F:\Users\norela.briceno\Documents\Plan de acción\Plan Accion 2018\[Plan Accion Integrado ADRES Vigencia 2018 con Cuadro de Mando V6..xlsx]Plan de Accion 2018'!#REF!,X90&lt;&gt;"N/A"))</xm:f>
            <x14:dxf>
              <fill>
                <patternFill>
                  <bgColor indexed="10"/>
                </patternFill>
              </fill>
            </x14:dxf>
          </x14:cfRule>
          <xm:sqref>X90:X91</xm:sqref>
        </x14:conditionalFormatting>
        <x14:conditionalFormatting xmlns:xm="http://schemas.microsoft.com/office/excel/2006/main">
          <x14:cfRule type="expression" priority="1019" id="{F88E8762-F776-46E4-963F-51FB64816531}">
            <xm:f>AND(IF(AE90&gt;'F:\Users\norela.briceno\Documents\Plan de acción\Plan Accion 2018\[Plan Accion Integrado ADRES Vigencia 2018 con Cuadro de Mando V6..xlsx]Plan de Accion 2018'!#REF!,AE90&lt;&gt;¨N/A¨))</xm:f>
            <x14:dxf>
              <fill>
                <patternFill>
                  <bgColor theme="1" tint="0.499984740745262"/>
                </patternFill>
              </fill>
            </x14:dxf>
          </x14:cfRule>
          <x14:cfRule type="expression" priority="1020" stopIfTrue="1" id="{769B0E28-731F-4CA4-AD45-13BC0EFB36FB}">
            <xm:f>AND(IF(AE90='F:\Users\norela.briceno\Documents\Plan de acción\Plan Accion 2018\[Plan Accion Integrado ADRES Vigencia 2018 con Cuadro de Mando V6..xlsx]Plan de Accion 2018'!#REF!,AE90&lt;&gt;"N/A"))</xm:f>
            <x14:dxf>
              <fill>
                <patternFill>
                  <bgColor rgb="FF00B050"/>
                </patternFill>
              </fill>
            </x14:dxf>
          </x14:cfRule>
          <x14:cfRule type="expression" priority="1021" stopIfTrue="1" id="{DFCE9F81-CA20-4888-9020-B11DB3A376F3}">
            <xm:f>AND(IF(AE90&lt;'F:\Users\norela.briceno\Documents\Plan de acción\Plan Accion 2018\[Plan Accion Integrado ADRES Vigencia 2018 con Cuadro de Mando V6..xlsx]Plan de Accion 2018'!#REF!,AE90&lt;&gt;"N/A"))</xm:f>
            <x14:dxf>
              <fill>
                <patternFill>
                  <bgColor indexed="10"/>
                </patternFill>
              </fill>
            </x14:dxf>
          </x14:cfRule>
          <xm:sqref>AE90:AE91</xm:sqref>
        </x14:conditionalFormatting>
        <x14:conditionalFormatting xmlns:xm="http://schemas.microsoft.com/office/excel/2006/main">
          <x14:cfRule type="expression" priority="946" id="{ADFF09F6-B4BB-49C8-BC37-2A64034F6757}">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947" stopIfTrue="1" id="{31445CE4-8D63-446A-8B3B-4B0ACB26F5DF}">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948" stopIfTrue="1" id="{48433763-CB8E-4405-89C1-61D1329879BE}">
            <xm:f>AND(IF(J154&lt;'F:\Users\norela.briceno\Documents\Plan de acción\Plan Accion 2018\[Plan Accion Integrado ADRES Vigencia 2018 con Cuadro de Mando V6..xlsx]Plan de Accion 2018'!#REF!,J154&lt;&gt;"N/A"))</xm:f>
            <x14:dxf>
              <fill>
                <patternFill>
                  <bgColor indexed="10"/>
                </patternFill>
              </fill>
            </x14:dxf>
          </x14:cfRule>
          <xm:sqref>J154 Q154 AE154 X154</xm:sqref>
        </x14:conditionalFormatting>
        <x14:conditionalFormatting xmlns:xm="http://schemas.microsoft.com/office/excel/2006/main">
          <x14:cfRule type="expression" priority="937" id="{F026F0AF-9194-40CA-A40F-E22C2139802F}">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938" stopIfTrue="1" id="{57805633-4EDE-43EF-8A1B-7C8E8FBC33BF}">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939" stopIfTrue="1" id="{FB5AF1EF-27FD-459C-8507-F1E5462DB4AB}">
            <xm:f>AND(IF(X154&lt;'F:\Users\norela.briceno\Documents\Plan de acción\Plan Accion 2018\[Plan Accion Integrado ADRES Vigencia 2018 con Cuadro de Mando V6..xlsx]Plan de Accion 2018'!#REF!,X154&lt;&gt;"N/A"))</xm:f>
            <x14:dxf>
              <fill>
                <patternFill>
                  <bgColor indexed="10"/>
                </patternFill>
              </fill>
            </x14:dxf>
          </x14:cfRule>
          <xm:sqref>X154</xm:sqref>
        </x14:conditionalFormatting>
        <x14:conditionalFormatting xmlns:xm="http://schemas.microsoft.com/office/excel/2006/main">
          <x14:cfRule type="expression" priority="934" id="{8DBD97DD-68B5-4C7F-BD9A-B040D48ABC0B}">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935" stopIfTrue="1" id="{A7B2E974-82CD-4F0C-84E7-CA3FDCDD471F}">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936" stopIfTrue="1" id="{899769C5-033C-436F-B38E-26355DD679D1}">
            <xm:f>AND(IF(AE154&lt;'F:\Users\norela.briceno\Documents\Plan de acción\Plan Accion 2018\[Plan Accion Integrado ADRES Vigencia 2018 con Cuadro de Mando V6..xlsx]Plan de Accion 2018'!#REF!,AE154&lt;&gt;"N/A"))</xm:f>
            <x14:dxf>
              <fill>
                <patternFill>
                  <bgColor indexed="10"/>
                </patternFill>
              </fill>
            </x14:dxf>
          </x14:cfRule>
          <xm:sqref>AE154</xm:sqref>
        </x14:conditionalFormatting>
        <x14:conditionalFormatting xmlns:xm="http://schemas.microsoft.com/office/excel/2006/main">
          <x14:cfRule type="expression" priority="943" id="{32B9D3D7-A4C2-42C9-ACFD-0DD19515AC66}">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944" stopIfTrue="1" id="{F6DDA8AF-03EB-4A9D-83FC-73B6B14B6559}">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945" stopIfTrue="1" id="{F6FA0E8C-DB26-4EBF-AD51-E4AAD884896F}">
            <xm:f>AND(IF(J154&lt;'F:\Users\norela.briceno\Documents\Plan de acción\Plan Accion 2018\[Plan Accion Integrado ADRES Vigencia 2018 con Cuadro de Mando V6..xlsx]Plan de Accion 2018'!#REF!,J154&lt;&gt;"N/A"))</xm:f>
            <x14:dxf>
              <fill>
                <patternFill>
                  <bgColor indexed="10"/>
                </patternFill>
              </fill>
            </x14:dxf>
          </x14:cfRule>
          <xm:sqref>J154</xm:sqref>
        </x14:conditionalFormatting>
        <x14:conditionalFormatting xmlns:xm="http://schemas.microsoft.com/office/excel/2006/main">
          <x14:cfRule type="expression" priority="940" id="{C8683B1C-68AF-4E57-809D-0C9FD4CC8EEA}">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941" stopIfTrue="1" id="{D4C88D25-E743-4C0E-93C1-EB18E890D40F}">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942" stopIfTrue="1" id="{24F2DB23-B92D-439F-9426-10A1DB0EFF9D}">
            <xm:f>AND(IF(Q154&lt;'F:\Users\norela.briceno\Documents\Plan de acción\Plan Accion 2018\[Plan Accion Integrado ADRES Vigencia 2018 con Cuadro de Mando V6..xlsx]Plan de Accion 2018'!#REF!,Q154&lt;&gt;"N/A"))</xm:f>
            <x14:dxf>
              <fill>
                <patternFill>
                  <bgColor indexed="10"/>
                </patternFill>
              </fill>
            </x14:dxf>
          </x14:cfRule>
          <xm:sqref>Q154</xm:sqref>
        </x14:conditionalFormatting>
        <x14:conditionalFormatting xmlns:xm="http://schemas.microsoft.com/office/excel/2006/main">
          <x14:cfRule type="expression" priority="876" id="{A18C899B-7266-4FB1-8D50-B82C50F86B9D}">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877" stopIfTrue="1" id="{B9FDA9AB-84A7-42C1-BDFD-899209289B09}">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878" stopIfTrue="1" id="{BB949DE6-0C7B-4F0A-9A2E-2964CF9F4707}">
            <xm:f>AND(IF(J155&lt;'F:\Users\norela.briceno\Documents\Plan de acción\Plan Accion 2018\[Plan Accion Integrado ADRES Vigencia 2018 con Cuadro de Mando V6..xlsx]Plan de Accion 2018'!#REF!,J155&lt;&gt;"N/A"))</xm:f>
            <x14:dxf>
              <fill>
                <patternFill>
                  <bgColor indexed="10"/>
                </patternFill>
              </fill>
            </x14:dxf>
          </x14:cfRule>
          <xm:sqref>J155:J157 Q155:Q157 AE155:AE157 X155:X157</xm:sqref>
        </x14:conditionalFormatting>
        <x14:conditionalFormatting xmlns:xm="http://schemas.microsoft.com/office/excel/2006/main">
          <x14:cfRule type="expression" priority="867" id="{477C11E2-CD01-469A-A0EE-D2326E80E42F}">
            <xm:f>AND(IF(X155&gt;'F:\Users\norela.briceno\Documents\Plan de acción\Plan Accion 2018\[Plan Accion Integrado ADRES Vigencia 2018 con Cuadro de Mando V6..xlsx]Plan de Accion 2018'!#REF!,X155&lt;&gt;¨N/A¨))</xm:f>
            <x14:dxf>
              <fill>
                <patternFill>
                  <bgColor theme="1" tint="0.499984740745262"/>
                </patternFill>
              </fill>
            </x14:dxf>
          </x14:cfRule>
          <x14:cfRule type="expression" priority="868" stopIfTrue="1" id="{11A5C989-5845-4149-888D-F3C4611147A4}">
            <xm:f>AND(IF(X155='F:\Users\norela.briceno\Documents\Plan de acción\Plan Accion 2018\[Plan Accion Integrado ADRES Vigencia 2018 con Cuadro de Mando V6..xlsx]Plan de Accion 2018'!#REF!,X155&lt;&gt;"N/A"))</xm:f>
            <x14:dxf>
              <fill>
                <patternFill>
                  <bgColor rgb="FF00B050"/>
                </patternFill>
              </fill>
            </x14:dxf>
          </x14:cfRule>
          <x14:cfRule type="expression" priority="869" stopIfTrue="1" id="{C0F6A3E6-B1D9-4A30-8E4D-163A11240349}">
            <xm:f>AND(IF(X155&lt;'F:\Users\norela.briceno\Documents\Plan de acción\Plan Accion 2018\[Plan Accion Integrado ADRES Vigencia 2018 con Cuadro de Mando V6..xlsx]Plan de Accion 2018'!#REF!,X155&lt;&gt;"N/A"))</xm:f>
            <x14:dxf>
              <fill>
                <patternFill>
                  <bgColor indexed="10"/>
                </patternFill>
              </fill>
            </x14:dxf>
          </x14:cfRule>
          <xm:sqref>X155:X157</xm:sqref>
        </x14:conditionalFormatting>
        <x14:conditionalFormatting xmlns:xm="http://schemas.microsoft.com/office/excel/2006/main">
          <x14:cfRule type="expression" priority="864" id="{4D0CC6C0-9694-42A9-A0A2-526F4E6F75B0}">
            <xm:f>AND(IF(AE155&gt;'F:\Users\norela.briceno\Documents\Plan de acción\Plan Accion 2018\[Plan Accion Integrado ADRES Vigencia 2018 con Cuadro de Mando V6..xlsx]Plan de Accion 2018'!#REF!,AE155&lt;&gt;¨N/A¨))</xm:f>
            <x14:dxf>
              <fill>
                <patternFill>
                  <bgColor theme="1" tint="0.499984740745262"/>
                </patternFill>
              </fill>
            </x14:dxf>
          </x14:cfRule>
          <x14:cfRule type="expression" priority="865" stopIfTrue="1" id="{CF46CD72-C429-4C7C-A9CA-F16134BE74BA}">
            <xm:f>AND(IF(AE155='F:\Users\norela.briceno\Documents\Plan de acción\Plan Accion 2018\[Plan Accion Integrado ADRES Vigencia 2018 con Cuadro de Mando V6..xlsx]Plan de Accion 2018'!#REF!,AE155&lt;&gt;"N/A"))</xm:f>
            <x14:dxf>
              <fill>
                <patternFill>
                  <bgColor rgb="FF00B050"/>
                </patternFill>
              </fill>
            </x14:dxf>
          </x14:cfRule>
          <x14:cfRule type="expression" priority="866" stopIfTrue="1" id="{92E1FD42-515D-4333-8489-228E6D2845AD}">
            <xm:f>AND(IF(AE155&lt;'F:\Users\norela.briceno\Documents\Plan de acción\Plan Accion 2018\[Plan Accion Integrado ADRES Vigencia 2018 con Cuadro de Mando V6..xlsx]Plan de Accion 2018'!#REF!,AE155&lt;&gt;"N/A"))</xm:f>
            <x14:dxf>
              <fill>
                <patternFill>
                  <bgColor indexed="10"/>
                </patternFill>
              </fill>
            </x14:dxf>
          </x14:cfRule>
          <xm:sqref>AE155:AE157</xm:sqref>
        </x14:conditionalFormatting>
        <x14:conditionalFormatting xmlns:xm="http://schemas.microsoft.com/office/excel/2006/main">
          <x14:cfRule type="expression" priority="873" id="{4CB2BCE4-7991-40F0-A3C8-C136AE648FEF}">
            <xm:f>AND(IF(J155&gt;'F:\Users\norela.briceno\Documents\Plan de acción\Plan Accion 2018\[Plan Accion Integrado ADRES Vigencia 2018 con Cuadro de Mando V6..xlsx]Plan de Accion 2018'!#REF!,J155&lt;&gt;¨N/A¨))</xm:f>
            <x14:dxf>
              <fill>
                <patternFill>
                  <bgColor theme="1" tint="0.499984740745262"/>
                </patternFill>
              </fill>
            </x14:dxf>
          </x14:cfRule>
          <x14:cfRule type="expression" priority="874" stopIfTrue="1" id="{BF4200A0-0502-4B63-85F1-59CC3582D607}">
            <xm:f>AND(IF(J155='F:\Users\norela.briceno\Documents\Plan de acción\Plan Accion 2018\[Plan Accion Integrado ADRES Vigencia 2018 con Cuadro de Mando V6..xlsx]Plan de Accion 2018'!#REF!,J155&lt;&gt;"N/A"))</xm:f>
            <x14:dxf>
              <fill>
                <patternFill>
                  <bgColor rgb="FF00B050"/>
                </patternFill>
              </fill>
            </x14:dxf>
          </x14:cfRule>
          <x14:cfRule type="expression" priority="875" stopIfTrue="1" id="{5846F8BA-75C2-41AF-BC8D-2595211ABD9D}">
            <xm:f>AND(IF(J155&lt;'F:\Users\norela.briceno\Documents\Plan de acción\Plan Accion 2018\[Plan Accion Integrado ADRES Vigencia 2018 con Cuadro de Mando V6..xlsx]Plan de Accion 2018'!#REF!,J155&lt;&gt;"N/A"))</xm:f>
            <x14:dxf>
              <fill>
                <patternFill>
                  <bgColor indexed="10"/>
                </patternFill>
              </fill>
            </x14:dxf>
          </x14:cfRule>
          <xm:sqref>J155:J157</xm:sqref>
        </x14:conditionalFormatting>
        <x14:conditionalFormatting xmlns:xm="http://schemas.microsoft.com/office/excel/2006/main">
          <x14:cfRule type="expression" priority="870" id="{BE637FD8-C031-4587-9AC7-DB74CC836506}">
            <xm:f>AND(IF(Q155&gt;'F:\Users\norela.briceno\Documents\Plan de acción\Plan Accion 2018\[Plan Accion Integrado ADRES Vigencia 2018 con Cuadro de Mando V6..xlsx]Plan de Accion 2018'!#REF!,Q155&lt;&gt;¨N/A¨))</xm:f>
            <x14:dxf>
              <fill>
                <patternFill>
                  <bgColor theme="1" tint="0.499984740745262"/>
                </patternFill>
              </fill>
            </x14:dxf>
          </x14:cfRule>
          <x14:cfRule type="expression" priority="871" stopIfTrue="1" id="{13BB819B-796A-49B8-AEF5-CD3ECD7E61CC}">
            <xm:f>AND(IF(Q155='F:\Users\norela.briceno\Documents\Plan de acción\Plan Accion 2018\[Plan Accion Integrado ADRES Vigencia 2018 con Cuadro de Mando V6..xlsx]Plan de Accion 2018'!#REF!,Q155&lt;&gt;"N/A"))</xm:f>
            <x14:dxf>
              <fill>
                <patternFill>
                  <bgColor rgb="FF00B050"/>
                </patternFill>
              </fill>
            </x14:dxf>
          </x14:cfRule>
          <x14:cfRule type="expression" priority="872" stopIfTrue="1" id="{EA812E43-C4D7-4514-B5D5-E5356B36A3D3}">
            <xm:f>AND(IF(Q155&lt;'F:\Users\norela.briceno\Documents\Plan de acción\Plan Accion 2018\[Plan Accion Integrado ADRES Vigencia 2018 con Cuadro de Mando V6..xlsx]Plan de Accion 2018'!#REF!,Q155&lt;&gt;"N/A"))</xm:f>
            <x14:dxf>
              <fill>
                <patternFill>
                  <bgColor indexed="10"/>
                </patternFill>
              </fill>
            </x14:dxf>
          </x14:cfRule>
          <xm:sqref>Q155:Q157</xm:sqref>
        </x14:conditionalFormatting>
        <x14:conditionalFormatting xmlns:xm="http://schemas.microsoft.com/office/excel/2006/main">
          <x14:cfRule type="expression" priority="679" id="{AC17B82F-F94C-4419-B14E-330B54A82A9B}">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80" stopIfTrue="1" id="{0582588C-BCE1-4A83-91D7-6A137B7B08B4}">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81" stopIfTrue="1" id="{6F0BE3A9-68FB-4EE4-8F9B-2CD86D8F5454}">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676" id="{EAF2783E-182E-44A8-87C1-0B9B04700978}">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677" stopIfTrue="1" id="{FF6C2A3C-17A7-4B7A-ABC9-10FA6FF63D44}">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678" stopIfTrue="1" id="{38E3D0D8-9108-4FBF-A75A-51401B8DD399}">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673" id="{52EDCEA0-EFF7-4D8D-B928-211A24F1C9E1}">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674" stopIfTrue="1" id="{46B1DAA4-699D-447C-B7A1-E765822C9846}">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675" stopIfTrue="1" id="{536675B9-12F2-4F95-BCC3-07A5F044D996}">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670" id="{726CA400-6C51-49B6-8750-4D69FF104BA7}">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671" stopIfTrue="1" id="{E4D3E7DF-2D0C-4525-8BFD-0A7D071EDCEF}">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672" stopIfTrue="1" id="{3B863073-DE62-4069-A3DF-FEBDE6E2599F}">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667" id="{7CB90E80-1001-48FC-92D9-CA287DA73920}">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668" stopIfTrue="1" id="{86AB0B3A-38D1-4DCD-BFB0-6CFA11EC0CEB}">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669" stopIfTrue="1" id="{F2DA7AC0-1D86-4822-B81E-6AC56641B6D2}">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604" id="{211B02E2-A25B-4409-852B-552E2CEABBE2}">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05" stopIfTrue="1" id="{8DD22798-2BE0-42A9-894C-736C8E8F2671}">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06" stopIfTrue="1" id="{BA9627F6-A6DA-411B-BC62-089A7FA7E94E}">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601" id="{8644104A-B3B0-4E2B-A600-8671A611D907}">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602" stopIfTrue="1" id="{4A3D52BF-D975-4445-B7D7-FCF7474CCB6A}">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603" stopIfTrue="1" id="{4ACEF2A3-B360-45AE-9A75-7E50C4A8AC87}">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598" id="{95FB0332-EE9C-4426-9B23-A4C0999AA867}">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599" stopIfTrue="1" id="{89F10187-68CE-403D-884D-37871635BC74}">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600" stopIfTrue="1" id="{F64E3364-8CFC-4B33-81AE-1A98CFEFC6EF}">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595" id="{A512DC26-828C-4D53-91C4-3A73759BAF49}">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596" stopIfTrue="1" id="{797A5D76-2127-4AA4-BCE7-4809D7E33657}">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597" stopIfTrue="1" id="{CF02B5DB-568E-4229-AF65-72BBD1DF532E}">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592" id="{5308439E-3749-462A-A97C-C666D945C552}">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593" stopIfTrue="1" id="{04AD47A7-E8B6-4DF3-966F-4940C6A01E74}">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594" stopIfTrue="1" id="{20D58135-D2CE-4CD7-9122-C0E0D8E06BFB}">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 xmlns:xm="http://schemas.microsoft.com/office/excel/2006/main">
          <x14:cfRule type="expression" priority="529" id="{CD78F3C7-6B74-454D-AC79-D65CFC55D4F3}">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530" stopIfTrue="1" id="{C1912BC7-E089-482A-A3C0-F169B06FB248}">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531" stopIfTrue="1" id="{9E61CD72-03FA-4942-8C3D-20FEBF3FBB58}">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526" id="{1142F8A4-FE64-48E5-B0B3-68E0B97DBB7E}">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527" stopIfTrue="1" id="{01F0DA7A-D119-4316-97B3-D35F71AC1905}">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528" stopIfTrue="1" id="{07BAC4BF-2739-4501-99FF-7B1AA507B728}">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523" id="{20B2A9D6-B5E2-4151-9B35-C800113A704A}">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524" stopIfTrue="1" id="{437AE93E-DD21-4408-B488-44135364FE47}">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525" stopIfTrue="1" id="{FB3B52D2-9775-4FBF-ACB8-94D97AA2C445}">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520" id="{88E0F037-8E80-4662-AB9E-EA7865CC2725}">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521" stopIfTrue="1" id="{8B45C678-E6FC-43D6-8FBC-654E26277B21}">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522" stopIfTrue="1" id="{3A27E75D-DA8C-4972-9774-FBB8B3A88F75}">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517" id="{C45D1A30-8AF1-46CA-A0F1-02BABECB3173}">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518" stopIfTrue="1" id="{95641DB7-0BCA-4053-8122-FEAE6419E343}">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519" stopIfTrue="1" id="{5AB36708-4137-4DC1-AD0B-1B174F6F168C}">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219" id="{C1A6B5A6-F767-4EA3-9D60-29002785B1B0}">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220" stopIfTrue="1" id="{5D3D9D1A-137F-423B-9D2F-96D51D9B921A}">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221" stopIfTrue="1" id="{A76F476D-4878-415D-BDDC-779238848559}">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216" id="{2F7DF45B-3E44-4C48-8726-DEF941F26E70}">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217" stopIfTrue="1" id="{ABFFFB0F-0126-48BA-A902-22922740029C}">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218" stopIfTrue="1" id="{7551E161-D24E-4370-BDF9-84F8FA8BF558}">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213" id="{A9584722-F07F-40DB-9FB1-D5F65D0AEC35}">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214" stopIfTrue="1" id="{BE637491-99CE-47DC-BDCA-8B09D220C1AB}">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215" stopIfTrue="1" id="{1FFC4876-2236-42B4-BEF4-BE3E0BDB6939}">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210" id="{63163C12-A5FD-4515-B0F5-42B1AEC2DFF2}">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211" stopIfTrue="1" id="{20B3C28E-1F16-47E7-8104-CDA7726DA8E1}">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212" stopIfTrue="1" id="{6C4A1108-CE2B-4301-BA22-73BE0A0C73F9}">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112" id="{0F46C4D3-CD87-4F5C-9455-08FE0EA7DE39}">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113" stopIfTrue="1" id="{58BE538E-D665-45AD-9E63-24D7A1387D7B}">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114" stopIfTrue="1" id="{1823DB2F-6C8B-4A85-BC11-2B3369672DFA}">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109" id="{C4F639F8-E72F-4E47-A472-0FBAB7A5D491}">
            <xm:f>AND(IF(X118&gt;'F:\Users\norela.briceno\Documents\Plan de acción\Plan Accion 2018\[Plan Accion Integrado ADRES Vigencia 2018 con Cuadro de Mando V6..xlsx]Plan de Accion 2018'!#REF!,X118&lt;&gt;¨N/A¨))</xm:f>
            <x14:dxf>
              <fill>
                <patternFill>
                  <bgColor theme="1" tint="0.499984740745262"/>
                </patternFill>
              </fill>
            </x14:dxf>
          </x14:cfRule>
          <x14:cfRule type="expression" priority="110" stopIfTrue="1" id="{45F842DE-6B8A-40E9-BF02-7B8154EA6EBF}">
            <xm:f>AND(IF(X118='F:\Users\norela.briceno\Documents\Plan de acción\Plan Accion 2018\[Plan Accion Integrado ADRES Vigencia 2018 con Cuadro de Mando V6..xlsx]Plan de Accion 2018'!#REF!,X118&lt;&gt;"N/A"))</xm:f>
            <x14:dxf>
              <fill>
                <patternFill>
                  <bgColor rgb="FF00B050"/>
                </patternFill>
              </fill>
            </x14:dxf>
          </x14:cfRule>
          <x14:cfRule type="expression" priority="111" stopIfTrue="1" id="{68F29087-B7CF-45F5-A84A-E47E7FC0D96F}">
            <xm:f>AND(IF(X118&lt;'F:\Users\norela.briceno\Documents\Plan de acción\Plan Accion 2018\[Plan Accion Integrado ADRES Vigencia 2018 con Cuadro de Mando V6..xlsx]Plan de Accion 2018'!#REF!,X118&lt;&gt;"N/A"))</xm:f>
            <x14:dxf>
              <fill>
                <patternFill>
                  <bgColor indexed="10"/>
                </patternFill>
              </fill>
            </x14:dxf>
          </x14:cfRule>
          <xm:sqref>X118</xm:sqref>
        </x14:conditionalFormatting>
        <x14:conditionalFormatting xmlns:xm="http://schemas.microsoft.com/office/excel/2006/main">
          <x14:cfRule type="expression" priority="66" id="{2D2346FC-8006-432D-9D56-98FCAF06C156}">
            <xm:f>AND(IF(AE191&gt;'F:\Users\norela.briceno\Documents\Plan de acción\Plan Accion 2018\[Plan Accion Integrado ADRES Vigencia 2018 con Cuadro de Mando V6..xlsx]Plan de Accion 2018'!#REF!,AE191&lt;&gt;¨N/A¨))</xm:f>
            <x14:dxf>
              <fill>
                <patternFill>
                  <bgColor theme="1" tint="0.499984740745262"/>
                </patternFill>
              </fill>
            </x14:dxf>
          </x14:cfRule>
          <x14:cfRule type="expression" priority="67" stopIfTrue="1" id="{F34B35EA-55C1-4ED1-A269-18EC25CBB1B9}">
            <xm:f>AND(IF(AE191='F:\Users\norela.briceno\Documents\Plan de acción\Plan Accion 2018\[Plan Accion Integrado ADRES Vigencia 2018 con Cuadro de Mando V6..xlsx]Plan de Accion 2018'!#REF!,AE191&lt;&gt;"N/A"))</xm:f>
            <x14:dxf>
              <fill>
                <patternFill>
                  <bgColor rgb="FF00B050"/>
                </patternFill>
              </fill>
            </x14:dxf>
          </x14:cfRule>
          <x14:cfRule type="expression" priority="68" stopIfTrue="1" id="{00BE223B-6A5D-4FBC-A1C2-1C1B47BEFC59}">
            <xm:f>AND(IF(AE191&lt;'F:\Users\norela.briceno\Documents\Plan de acción\Plan Accion 2018\[Plan Accion Integrado ADRES Vigencia 2018 con Cuadro de Mando V6..xlsx]Plan de Accion 2018'!#REF!,AE191&lt;&gt;"N/A"))</xm:f>
            <x14:dxf>
              <fill>
                <patternFill>
                  <bgColor indexed="10"/>
                </patternFill>
              </fill>
            </x14:dxf>
          </x14:cfRule>
          <xm:sqref>AE191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4"/>
  <sheetViews>
    <sheetView showGridLines="0" zoomScale="80" zoomScaleNormal="80" workbookViewId="0">
      <selection activeCell="AY13" sqref="AY13"/>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customWidth="1"/>
    <col min="32" max="36" width="3.28515625" customWidth="1"/>
    <col min="37" max="37" width="11.7109375" customWidth="1"/>
    <col min="38" max="42" width="3.28515625" customWidth="1"/>
    <col min="43" max="43" width="28.5703125" customWidth="1"/>
    <col min="44" max="44" width="3.140625" customWidth="1"/>
    <col min="45" max="45" width="11.7109375" customWidth="1"/>
    <col min="46" max="50" width="3.28515625" customWidth="1"/>
    <col min="51" max="51" width="12.140625" customWidth="1"/>
    <col min="52" max="56" width="3.28515625" customWidth="1"/>
    <col min="57" max="57" width="28.5703125" customWidth="1"/>
  </cols>
  <sheetData>
    <row r="1" spans="1:60" ht="15" customHeight="1" x14ac:dyDescent="0.25">
      <c r="A1" s="1604"/>
      <c r="B1" s="1607" t="s">
        <v>246</v>
      </c>
      <c r="C1" s="1608"/>
      <c r="D1" s="1608"/>
      <c r="E1" s="1608"/>
      <c r="F1" s="1608"/>
      <c r="G1" s="1608"/>
      <c r="H1" s="1558"/>
      <c r="I1" s="1559" t="s">
        <v>247</v>
      </c>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60"/>
      <c r="AM1" s="1560"/>
      <c r="AN1" s="1560"/>
      <c r="AO1" s="1560"/>
      <c r="AP1" s="1560"/>
      <c r="AQ1" s="1560"/>
      <c r="AR1" s="1560"/>
      <c r="AS1" s="1609"/>
      <c r="AT1" s="1610"/>
      <c r="AU1" s="1610"/>
      <c r="AV1" s="1610"/>
      <c r="AW1" s="1610"/>
      <c r="AX1" s="1610"/>
      <c r="AY1" s="1610"/>
      <c r="AZ1" s="1610"/>
      <c r="BA1" s="1610"/>
      <c r="BB1" s="1610"/>
      <c r="BC1" s="1610"/>
      <c r="BD1" s="1611"/>
      <c r="BE1" s="19"/>
      <c r="BF1" s="19"/>
      <c r="BG1" s="19"/>
      <c r="BH1" s="19"/>
    </row>
    <row r="2" spans="1:60" ht="15" customHeight="1" x14ac:dyDescent="0.25">
      <c r="A2" s="1605"/>
      <c r="B2" s="1618" t="s">
        <v>248</v>
      </c>
      <c r="C2" s="1619"/>
      <c r="D2" s="1619"/>
      <c r="E2" s="1619"/>
      <c r="F2" s="1619"/>
      <c r="G2" s="1619"/>
      <c r="H2" s="1563"/>
      <c r="I2" s="1564" t="s">
        <v>209</v>
      </c>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c r="AM2" s="1565"/>
      <c r="AN2" s="1565"/>
      <c r="AO2" s="1565"/>
      <c r="AP2" s="1565"/>
      <c r="AQ2" s="1565"/>
      <c r="AR2" s="1565"/>
      <c r="AS2" s="1612"/>
      <c r="AT2" s="1613"/>
      <c r="AU2" s="1613"/>
      <c r="AV2" s="1613"/>
      <c r="AW2" s="1613"/>
      <c r="AX2" s="1613"/>
      <c r="AY2" s="1613"/>
      <c r="AZ2" s="1613"/>
      <c r="BA2" s="1613"/>
      <c r="BB2" s="1613"/>
      <c r="BC2" s="1613"/>
      <c r="BD2" s="1614"/>
      <c r="BE2" s="19"/>
      <c r="BF2" s="19"/>
      <c r="BG2" s="19"/>
      <c r="BH2" s="19"/>
    </row>
    <row r="3" spans="1:60" ht="15.75" customHeight="1" thickBot="1" x14ac:dyDescent="0.3">
      <c r="A3" s="1606"/>
      <c r="B3" s="1620" t="s">
        <v>242</v>
      </c>
      <c r="C3" s="1573"/>
      <c r="D3" s="1573"/>
      <c r="E3" s="1573"/>
      <c r="F3" s="1573"/>
      <c r="G3" s="1573"/>
      <c r="H3" s="1568"/>
      <c r="I3" s="1570" t="s">
        <v>251</v>
      </c>
      <c r="J3" s="1573"/>
      <c r="K3" s="1573"/>
      <c r="L3" s="1573"/>
      <c r="M3" s="1573"/>
      <c r="N3" s="1568"/>
      <c r="O3" s="321"/>
      <c r="P3" s="1621" t="s">
        <v>224</v>
      </c>
      <c r="Q3" s="1622"/>
      <c r="R3" s="1622"/>
      <c r="S3" s="1622"/>
      <c r="T3" s="1622"/>
      <c r="U3" s="1622"/>
      <c r="V3" s="1622"/>
      <c r="W3" s="1622"/>
      <c r="X3" s="1622"/>
      <c r="Y3" s="1622"/>
      <c r="Z3" s="1622"/>
      <c r="AA3" s="1622"/>
      <c r="AB3" s="1622"/>
      <c r="AC3" s="1622"/>
      <c r="AD3" s="1622"/>
      <c r="AE3" s="1622"/>
      <c r="AF3" s="1622"/>
      <c r="AG3" s="1622"/>
      <c r="AH3" s="1622"/>
      <c r="AI3" s="1622"/>
      <c r="AJ3" s="1623"/>
      <c r="AK3" s="320" t="s">
        <v>249</v>
      </c>
      <c r="AL3" s="1570">
        <v>1</v>
      </c>
      <c r="AM3" s="1573"/>
      <c r="AN3" s="1573"/>
      <c r="AO3" s="1573"/>
      <c r="AP3" s="1573"/>
      <c r="AQ3" s="1573"/>
      <c r="AR3" s="1573"/>
      <c r="AS3" s="1615"/>
      <c r="AT3" s="1616"/>
      <c r="AU3" s="1616"/>
      <c r="AV3" s="1616"/>
      <c r="AW3" s="1616"/>
      <c r="AX3" s="1616"/>
      <c r="AY3" s="1616"/>
      <c r="AZ3" s="1616"/>
      <c r="BA3" s="1616"/>
      <c r="BB3" s="1616"/>
      <c r="BC3" s="1616"/>
      <c r="BD3" s="1617"/>
      <c r="BE3" s="19"/>
      <c r="BF3" s="19"/>
      <c r="BG3" s="19"/>
      <c r="BH3" s="19"/>
    </row>
    <row r="4" spans="1:60" ht="15.75" thickBot="1" x14ac:dyDescent="0.3"/>
    <row r="5" spans="1:60" ht="55.5" customHeight="1" thickBot="1" x14ac:dyDescent="0.3">
      <c r="A5" s="351" t="s">
        <v>203</v>
      </c>
      <c r="B5" s="352"/>
      <c r="C5" s="1629" t="s">
        <v>1188</v>
      </c>
      <c r="D5" s="1630"/>
      <c r="E5" s="1630"/>
      <c r="F5" s="1630"/>
      <c r="G5" s="1630"/>
      <c r="H5" s="1631"/>
      <c r="I5" s="1632" t="s">
        <v>1189</v>
      </c>
      <c r="J5" s="1628"/>
      <c r="K5" s="1628"/>
      <c r="L5" s="1628"/>
      <c r="M5" s="1628"/>
      <c r="N5" s="1628"/>
      <c r="O5" s="353" t="s">
        <v>1415</v>
      </c>
      <c r="P5" s="12"/>
      <c r="Q5" s="1629" t="s">
        <v>1191</v>
      </c>
      <c r="R5" s="1630"/>
      <c r="S5" s="1630"/>
      <c r="T5" s="1630"/>
      <c r="U5" s="1630"/>
      <c r="V5" s="1631"/>
      <c r="W5" s="1629" t="s">
        <v>1192</v>
      </c>
      <c r="X5" s="1630"/>
      <c r="Y5" s="1630"/>
      <c r="Z5" s="1630"/>
      <c r="AA5" s="1630"/>
      <c r="AB5" s="1631"/>
      <c r="AC5" s="353" t="s">
        <v>1190</v>
      </c>
      <c r="AD5" s="354"/>
      <c r="AE5" s="1629" t="s">
        <v>1193</v>
      </c>
      <c r="AF5" s="1630"/>
      <c r="AG5" s="1630"/>
      <c r="AH5" s="1630"/>
      <c r="AI5" s="1630"/>
      <c r="AJ5" s="1631"/>
      <c r="AK5" s="1632" t="s">
        <v>1194</v>
      </c>
      <c r="AL5" s="1628"/>
      <c r="AM5" s="1628"/>
      <c r="AN5" s="1628"/>
      <c r="AO5" s="1628"/>
      <c r="AP5" s="1628"/>
      <c r="AQ5" s="353" t="s">
        <v>1190</v>
      </c>
      <c r="AR5" s="354"/>
      <c r="AS5" s="1624" t="s">
        <v>1195</v>
      </c>
      <c r="AT5" s="1625"/>
      <c r="AU5" s="1625"/>
      <c r="AV5" s="1625"/>
      <c r="AW5" s="1625"/>
      <c r="AX5" s="1626"/>
      <c r="AY5" s="1627" t="s">
        <v>1196</v>
      </c>
      <c r="AZ5" s="1628"/>
      <c r="BA5" s="1628"/>
      <c r="BB5" s="1628"/>
      <c r="BC5" s="1628"/>
      <c r="BD5" s="1628"/>
      <c r="BE5" s="353" t="s">
        <v>1190</v>
      </c>
    </row>
    <row r="6" spans="1:60" ht="18" x14ac:dyDescent="0.25">
      <c r="A6" s="355" t="s">
        <v>225</v>
      </c>
      <c r="B6" s="352"/>
      <c r="C6" s="356">
        <f>+'Cuadro Mando Integral Detallado'!L133</f>
        <v>0.55040103049286337</v>
      </c>
      <c r="D6" s="357">
        <f>+C6</f>
        <v>0.55040103049286337</v>
      </c>
      <c r="E6" s="358">
        <f>+C6</f>
        <v>0.55040103049286337</v>
      </c>
      <c r="F6" s="358">
        <f>+C6</f>
        <v>0.55040103049286337</v>
      </c>
      <c r="G6" s="499">
        <f>+C6</f>
        <v>0.55040103049286337</v>
      </c>
      <c r="H6" s="359">
        <f>+C6</f>
        <v>0.55040103049286337</v>
      </c>
      <c r="I6" s="360">
        <f>+'Cuadro Mando Integral Detallado'!O133</f>
        <v>0.17099458179721055</v>
      </c>
      <c r="J6" s="493">
        <f>+I6</f>
        <v>0.17099458179721055</v>
      </c>
      <c r="K6" s="494">
        <f>+I6</f>
        <v>0.17099458179721055</v>
      </c>
      <c r="L6" s="494">
        <f>+I6</f>
        <v>0.17099458179721055</v>
      </c>
      <c r="M6" s="494">
        <f>+I6</f>
        <v>0.17099458179721055</v>
      </c>
      <c r="N6" s="495">
        <f>+I6</f>
        <v>0.17099458179721055</v>
      </c>
      <c r="O6" s="535">
        <f>1/109</f>
        <v>9.1743119266055051E-3</v>
      </c>
      <c r="P6" s="14"/>
      <c r="Q6" s="356">
        <f>+'Cuadro Mando Integral Detallado'!S133</f>
        <v>0.84577317318751155</v>
      </c>
      <c r="R6" s="358">
        <f>+Q6</f>
        <v>0.84577317318751155</v>
      </c>
      <c r="S6" s="358">
        <f>+Q6</f>
        <v>0.84577317318751155</v>
      </c>
      <c r="T6" s="358">
        <f>+Q6</f>
        <v>0.84577317318751155</v>
      </c>
      <c r="U6" s="358">
        <f>+Q6</f>
        <v>0.84577317318751155</v>
      </c>
      <c r="V6" s="359">
        <f>+Q6</f>
        <v>0.84577317318751155</v>
      </c>
      <c r="W6" s="365">
        <f>+'Cuadro Mando Integral Detallado'!V133</f>
        <v>0.33482833748820862</v>
      </c>
      <c r="X6" s="361">
        <f>+W6</f>
        <v>0.33482833748820862</v>
      </c>
      <c r="Y6" s="362">
        <f>+W6</f>
        <v>0.33482833748820862</v>
      </c>
      <c r="Z6" s="362">
        <f>+W6</f>
        <v>0.33482833748820862</v>
      </c>
      <c r="AA6" s="362">
        <f>+W6</f>
        <v>0.33482833748820862</v>
      </c>
      <c r="AB6" s="366">
        <f>+W6</f>
        <v>0.33482833748820862</v>
      </c>
      <c r="AC6" s="364">
        <f>4/115</f>
        <v>3.4782608695652174E-2</v>
      </c>
      <c r="AD6" s="367"/>
      <c r="AE6" s="356">
        <f>+'Cuadro Mando Integral Detallado'!Z133</f>
        <v>0.80419898632732356</v>
      </c>
      <c r="AF6" s="357">
        <f>+AE6</f>
        <v>0.80419898632732356</v>
      </c>
      <c r="AG6" s="358">
        <f>+AE6</f>
        <v>0.80419898632732356</v>
      </c>
      <c r="AH6" s="358">
        <f>+AE6</f>
        <v>0.80419898632732356</v>
      </c>
      <c r="AI6" s="358">
        <f>+AE6</f>
        <v>0.80419898632732356</v>
      </c>
      <c r="AJ6" s="359">
        <f>+AE6</f>
        <v>0.80419898632732356</v>
      </c>
      <c r="AK6" s="356">
        <f>+'Cuadro Mando Integral Detallado'!AC133</f>
        <v>0.48271812005289733</v>
      </c>
      <c r="AL6" s="368">
        <f>+AK6</f>
        <v>0.48271812005289733</v>
      </c>
      <c r="AM6" s="362">
        <f>+AK6</f>
        <v>0.48271812005289733</v>
      </c>
      <c r="AN6" s="362">
        <f>+AK6</f>
        <v>0.48271812005289733</v>
      </c>
      <c r="AO6" s="362">
        <f>+AK6</f>
        <v>0.48271812005289733</v>
      </c>
      <c r="AP6" s="363">
        <f>+AK6</f>
        <v>0.48271812005289733</v>
      </c>
      <c r="AQ6" s="369">
        <v>9.8360655737704916E-2</v>
      </c>
      <c r="AR6" s="367"/>
      <c r="AS6" s="356">
        <f>+'Cuadro Mando Integral Detallado'!AG133</f>
        <v>0.90207263789695769</v>
      </c>
      <c r="AT6" s="357">
        <f>+AS6</f>
        <v>0.90207263789695769</v>
      </c>
      <c r="AU6" s="358">
        <f>+AS6</f>
        <v>0.90207263789695769</v>
      </c>
      <c r="AV6" s="358">
        <f>+AS6</f>
        <v>0.90207263789695769</v>
      </c>
      <c r="AW6" s="358">
        <f>+AS6</f>
        <v>0.90207263789695769</v>
      </c>
      <c r="AX6" s="359">
        <f>+AS6</f>
        <v>0.90207263789695769</v>
      </c>
      <c r="AY6" s="365">
        <f>+'Cuadro Mando Integral Detallado'!AI133</f>
        <v>0.72750651856533666</v>
      </c>
      <c r="AZ6" s="368">
        <f>+AY6</f>
        <v>0.72750651856533666</v>
      </c>
      <c r="BA6" s="362">
        <f>+AY6</f>
        <v>0.72750651856533666</v>
      </c>
      <c r="BB6" s="362">
        <f>+AY6</f>
        <v>0.72750651856533666</v>
      </c>
      <c r="BC6" s="362">
        <f>+AY6</f>
        <v>0.72750651856533666</v>
      </c>
      <c r="BD6" s="363">
        <f>+AY6</f>
        <v>0.72750651856533666</v>
      </c>
      <c r="BE6" s="364">
        <v>0.16129032258064516</v>
      </c>
    </row>
    <row r="7" spans="1:60" ht="18" x14ac:dyDescent="0.25">
      <c r="A7" s="370" t="s">
        <v>226</v>
      </c>
      <c r="B7" s="352"/>
      <c r="C7" s="371">
        <f>+'Cuadro Mando Integral Detallado'!L208</f>
        <v>0.92512577569127219</v>
      </c>
      <c r="D7" s="372">
        <f>+C7</f>
        <v>0.92512577569127219</v>
      </c>
      <c r="E7" s="373">
        <f>+C7</f>
        <v>0.92512577569127219</v>
      </c>
      <c r="F7" s="373">
        <f>+C7</f>
        <v>0.92512577569127219</v>
      </c>
      <c r="G7" s="373">
        <f>+C7</f>
        <v>0.92512577569127219</v>
      </c>
      <c r="H7" s="374">
        <f>+C7</f>
        <v>0.92512577569127219</v>
      </c>
      <c r="I7" s="375">
        <f>+'Cuadro Mando Integral Detallado'!O208</f>
        <v>0.34173562233484528</v>
      </c>
      <c r="J7" s="376">
        <f>+I7</f>
        <v>0.34173562233484528</v>
      </c>
      <c r="K7" s="377">
        <f>+I7</f>
        <v>0.34173562233484528</v>
      </c>
      <c r="L7" s="377">
        <f>+I7</f>
        <v>0.34173562233484528</v>
      </c>
      <c r="M7" s="377">
        <f>+I7</f>
        <v>0.34173562233484528</v>
      </c>
      <c r="N7" s="378">
        <f>+I7</f>
        <v>0.34173562233484528</v>
      </c>
      <c r="O7" s="536">
        <v>1.6129032258064516E-2</v>
      </c>
      <c r="P7" s="15"/>
      <c r="Q7" s="371">
        <f>+'Cuadro Mando Integral Detallado'!S208</f>
        <v>1</v>
      </c>
      <c r="R7" s="373">
        <f>+Q7</f>
        <v>1</v>
      </c>
      <c r="S7" s="373">
        <f>+Q7</f>
        <v>1</v>
      </c>
      <c r="T7" s="373">
        <f>+Q7</f>
        <v>1</v>
      </c>
      <c r="U7" s="373">
        <f>+Q7</f>
        <v>1</v>
      </c>
      <c r="V7" s="374">
        <f>+Q7</f>
        <v>1</v>
      </c>
      <c r="W7" s="380">
        <f>+'Cuadro Mando Integral Detallado'!V208</f>
        <v>0.50472917989466781</v>
      </c>
      <c r="X7" s="376">
        <f>+W7</f>
        <v>0.50472917989466781</v>
      </c>
      <c r="Y7" s="377">
        <f>+W7</f>
        <v>0.50472917989466781</v>
      </c>
      <c r="Z7" s="377">
        <f>+W7</f>
        <v>0.50472917989466781</v>
      </c>
      <c r="AA7" s="377">
        <f>+W7</f>
        <v>0.50472917989466781</v>
      </c>
      <c r="AB7" s="381">
        <f>+W7</f>
        <v>0.50472917989466781</v>
      </c>
      <c r="AC7" s="379">
        <f>1/73</f>
        <v>1.3698630136986301E-2</v>
      </c>
      <c r="AD7" s="367"/>
      <c r="AE7" s="371">
        <f>+'Cuadro Mando Integral Detallado'!Z208</f>
        <v>0.93864889395612183</v>
      </c>
      <c r="AF7" s="372">
        <f>+AE7</f>
        <v>0.93864889395612183</v>
      </c>
      <c r="AG7" s="373">
        <f>+AE7</f>
        <v>0.93864889395612183</v>
      </c>
      <c r="AH7" s="373">
        <f>+AE7</f>
        <v>0.93864889395612183</v>
      </c>
      <c r="AI7" s="373">
        <f>+AE7</f>
        <v>0.93864889395612183</v>
      </c>
      <c r="AJ7" s="374">
        <f>+AE7</f>
        <v>0.93864889395612183</v>
      </c>
      <c r="AK7" s="371">
        <f>+'Cuadro Mando Integral Detallado'!AC208</f>
        <v>0.68829038984384572</v>
      </c>
      <c r="AL7" s="382">
        <f>+AK7</f>
        <v>0.68829038984384572</v>
      </c>
      <c r="AM7" s="377">
        <f>+AK7</f>
        <v>0.68829038984384572</v>
      </c>
      <c r="AN7" s="377">
        <f>+AK7</f>
        <v>0.68829038984384572</v>
      </c>
      <c r="AO7" s="377">
        <f>+AK7</f>
        <v>0.68829038984384572</v>
      </c>
      <c r="AP7" s="378">
        <f>+AK7</f>
        <v>0.68829038984384572</v>
      </c>
      <c r="AQ7" s="989">
        <f>0/74</f>
        <v>0</v>
      </c>
      <c r="AR7" s="367"/>
      <c r="AS7" s="371">
        <f>+'Cuadro Mando Integral Detallado'!AA208</f>
        <v>0.61232536817094874</v>
      </c>
      <c r="AT7" s="372">
        <f>+AS7</f>
        <v>0.61232536817094874</v>
      </c>
      <c r="AU7" s="373">
        <f>+AS7</f>
        <v>0.61232536817094874</v>
      </c>
      <c r="AV7" s="373">
        <f>+AS7</f>
        <v>0.61232536817094874</v>
      </c>
      <c r="AW7" s="373">
        <f>+AS7</f>
        <v>0.61232536817094874</v>
      </c>
      <c r="AX7" s="374">
        <f>+AS7</f>
        <v>0.61232536817094874</v>
      </c>
      <c r="AY7" s="380">
        <f>+'Cuadro Mando Integral Detallado'!AI208</f>
        <v>0.87280135542123183</v>
      </c>
      <c r="AZ7" s="382">
        <f>+AY7</f>
        <v>0.87280135542123183</v>
      </c>
      <c r="BA7" s="377">
        <f>+AY7</f>
        <v>0.87280135542123183</v>
      </c>
      <c r="BB7" s="377">
        <f>+AY7</f>
        <v>0.87280135542123183</v>
      </c>
      <c r="BC7" s="377">
        <f>+AY7</f>
        <v>0.87280135542123183</v>
      </c>
      <c r="BD7" s="378">
        <f>+AY7</f>
        <v>0.87280135542123183</v>
      </c>
      <c r="BE7" s="417">
        <v>4.1095890410958902E-2</v>
      </c>
    </row>
    <row r="8" spans="1:60" ht="18" x14ac:dyDescent="0.25">
      <c r="A8" s="370" t="s">
        <v>227</v>
      </c>
      <c r="B8" s="352"/>
      <c r="C8" s="371">
        <f>+'Cuadro Mando Integral Detallado'!L308</f>
        <v>0.73171598401586635</v>
      </c>
      <c r="D8" s="372">
        <f>+C8</f>
        <v>0.73171598401586635</v>
      </c>
      <c r="E8" s="373">
        <f>+C8</f>
        <v>0.73171598401586635</v>
      </c>
      <c r="F8" s="373">
        <f>+C8</f>
        <v>0.73171598401586635</v>
      </c>
      <c r="G8" s="373">
        <f>+C8</f>
        <v>0.73171598401586635</v>
      </c>
      <c r="H8" s="374">
        <f>+C8</f>
        <v>0.73171598401586635</v>
      </c>
      <c r="I8" s="375">
        <f>+'Cuadro Mando Integral Detallado'!O308</f>
        <v>0.31319552583296795</v>
      </c>
      <c r="J8" s="496">
        <f>+I8</f>
        <v>0.31319552583296795</v>
      </c>
      <c r="K8" s="497">
        <f>+I8</f>
        <v>0.31319552583296795</v>
      </c>
      <c r="L8" s="497">
        <f>+I8</f>
        <v>0.31319552583296795</v>
      </c>
      <c r="M8" s="497">
        <f>+I8</f>
        <v>0.31319552583296795</v>
      </c>
      <c r="N8" s="498">
        <f>+I8</f>
        <v>0.31319552583296795</v>
      </c>
      <c r="O8" s="536">
        <v>0</v>
      </c>
      <c r="P8" s="15"/>
      <c r="Q8" s="371">
        <f>+'Cuadro Mando Integral Detallado'!S308</f>
        <v>0.98568764366951633</v>
      </c>
      <c r="R8" s="373">
        <f>+Q8</f>
        <v>0.98568764366951633</v>
      </c>
      <c r="S8" s="373">
        <f>+Q8</f>
        <v>0.98568764366951633</v>
      </c>
      <c r="T8" s="373">
        <f>+Q8</f>
        <v>0.98568764366951633</v>
      </c>
      <c r="U8" s="373">
        <f>+Q8</f>
        <v>0.98568764366951633</v>
      </c>
      <c r="V8" s="374">
        <f>+Q8</f>
        <v>0.98568764366951633</v>
      </c>
      <c r="W8" s="380">
        <f>+'Cuadro Mando Integral Detallado'!V308</f>
        <v>0.46984113836566943</v>
      </c>
      <c r="X8" s="376">
        <f>+W8</f>
        <v>0.46984113836566943</v>
      </c>
      <c r="Y8" s="377">
        <f>+W8</f>
        <v>0.46984113836566943</v>
      </c>
      <c r="Z8" s="377">
        <f>+W8</f>
        <v>0.46984113836566943</v>
      </c>
      <c r="AA8" s="377">
        <f>+W8</f>
        <v>0.46984113836566943</v>
      </c>
      <c r="AB8" s="381">
        <f>+W8</f>
        <v>0.46984113836566943</v>
      </c>
      <c r="AC8" s="379">
        <f>3/100</f>
        <v>0.03</v>
      </c>
      <c r="AD8" s="367"/>
      <c r="AE8" s="371">
        <f>+'Cuadro Mando Integral Detallado'!Z308</f>
        <v>0.99076089088072361</v>
      </c>
      <c r="AF8" s="372">
        <f>+AE8</f>
        <v>0.99076089088072361</v>
      </c>
      <c r="AG8" s="373">
        <f>+AE8</f>
        <v>0.99076089088072361</v>
      </c>
      <c r="AH8" s="373">
        <f>+AE8</f>
        <v>0.99076089088072361</v>
      </c>
      <c r="AI8" s="373">
        <f>+AE8</f>
        <v>0.99076089088072361</v>
      </c>
      <c r="AJ8" s="374">
        <f>+AE8</f>
        <v>0.99076089088072361</v>
      </c>
      <c r="AK8" s="371">
        <f>+'Cuadro Mando Integral Detallado'!AC308</f>
        <v>0.70158988377288189</v>
      </c>
      <c r="AL8" s="382">
        <f>+AK8</f>
        <v>0.70158988377288189</v>
      </c>
      <c r="AM8" s="377">
        <f>+AK8</f>
        <v>0.70158988377288189</v>
      </c>
      <c r="AN8" s="377">
        <f>+AK8</f>
        <v>0.70158988377288189</v>
      </c>
      <c r="AO8" s="377">
        <f>+AK8</f>
        <v>0.70158988377288189</v>
      </c>
      <c r="AP8" s="378">
        <f>+AK8</f>
        <v>0.70158988377288189</v>
      </c>
      <c r="AQ8" s="989">
        <v>3.0927835051546393E-2</v>
      </c>
      <c r="AR8" s="367"/>
      <c r="AS8" s="371">
        <f>+'Cuadro Mando Integral Detallado'!AG308</f>
        <v>0.95974196655910049</v>
      </c>
      <c r="AT8" s="372">
        <f>+AS8</f>
        <v>0.95974196655910049</v>
      </c>
      <c r="AU8" s="373">
        <f>+AS8</f>
        <v>0.95974196655910049</v>
      </c>
      <c r="AV8" s="373">
        <f>+AS8</f>
        <v>0.95974196655910049</v>
      </c>
      <c r="AW8" s="373">
        <f>+AS8</f>
        <v>0.95974196655910049</v>
      </c>
      <c r="AX8" s="374">
        <f>+AS8</f>
        <v>0.95974196655910049</v>
      </c>
      <c r="AY8" s="380">
        <f>+'Cuadro Mando Integral Detallado'!AI308</f>
        <v>0.88112017767119843</v>
      </c>
      <c r="AZ8" s="382">
        <f>+AY8</f>
        <v>0.88112017767119843</v>
      </c>
      <c r="BA8" s="377">
        <f>+AY8</f>
        <v>0.88112017767119843</v>
      </c>
      <c r="BB8" s="377">
        <f>+AY8</f>
        <v>0.88112017767119843</v>
      </c>
      <c r="BC8" s="377">
        <f>+AY8</f>
        <v>0.88112017767119843</v>
      </c>
      <c r="BD8" s="378">
        <f>+AY8</f>
        <v>0.88112017767119843</v>
      </c>
      <c r="BE8" s="417">
        <v>2.0833333333333332E-2</v>
      </c>
    </row>
    <row r="9" spans="1:60" ht="18.75" thickBot="1" x14ac:dyDescent="0.3">
      <c r="A9" s="383" t="s">
        <v>228</v>
      </c>
      <c r="B9" s="352"/>
      <c r="C9" s="384">
        <f>+'Cuadro Mando Integral Detallado'!L364</f>
        <v>0.875</v>
      </c>
      <c r="D9" s="385">
        <f>+C9</f>
        <v>0.875</v>
      </c>
      <c r="E9" s="386">
        <f>+C9</f>
        <v>0.875</v>
      </c>
      <c r="F9" s="386">
        <f>+C9</f>
        <v>0.875</v>
      </c>
      <c r="G9" s="386">
        <f>+C9</f>
        <v>0.875</v>
      </c>
      <c r="H9" s="387">
        <f>+C9</f>
        <v>0.875</v>
      </c>
      <c r="I9" s="388">
        <f>+'Cuadro Mando Integral Detallado'!O364</f>
        <v>0.42300336597307225</v>
      </c>
      <c r="J9" s="389">
        <f>+I9</f>
        <v>0.42300336597307225</v>
      </c>
      <c r="K9" s="390">
        <f>+I9</f>
        <v>0.42300336597307225</v>
      </c>
      <c r="L9" s="390">
        <f>+I9</f>
        <v>0.42300336597307225</v>
      </c>
      <c r="M9" s="390">
        <f>+I9</f>
        <v>0.42300336597307225</v>
      </c>
      <c r="N9" s="391">
        <f>+I9</f>
        <v>0.42300336597307225</v>
      </c>
      <c r="O9" s="538">
        <v>0</v>
      </c>
      <c r="P9" s="15"/>
      <c r="Q9" s="384">
        <f>+'Cuadro Mando Integral Detallado'!S364</f>
        <v>0.81818181818181823</v>
      </c>
      <c r="R9" s="386">
        <f>+Q9</f>
        <v>0.81818181818181823</v>
      </c>
      <c r="S9" s="386">
        <f>+Q9</f>
        <v>0.81818181818181823</v>
      </c>
      <c r="T9" s="386">
        <f>+Q9</f>
        <v>0.81818181818181823</v>
      </c>
      <c r="U9" s="386">
        <f>+Q9</f>
        <v>0.81818181818181823</v>
      </c>
      <c r="V9" s="387">
        <f>+Q9</f>
        <v>0.81818181818181823</v>
      </c>
      <c r="W9" s="393">
        <f>+'Cuadro Mando Integral Detallado'!V364</f>
        <v>0.45563035495716031</v>
      </c>
      <c r="X9" s="389">
        <f>+W9</f>
        <v>0.45563035495716031</v>
      </c>
      <c r="Y9" s="390">
        <f>+W9</f>
        <v>0.45563035495716031</v>
      </c>
      <c r="Z9" s="390">
        <f>+W9</f>
        <v>0.45563035495716031</v>
      </c>
      <c r="AA9" s="390">
        <f>+W9</f>
        <v>0.45563035495716031</v>
      </c>
      <c r="AB9" s="394">
        <f>+W9</f>
        <v>0.45563035495716031</v>
      </c>
      <c r="AC9" s="392">
        <v>0</v>
      </c>
      <c r="AD9" s="367"/>
      <c r="AE9" s="371">
        <f>+'Cuadro Mando Integral Detallado'!Z364</f>
        <v>0.6333333333333333</v>
      </c>
      <c r="AF9" s="385">
        <f>+AE9</f>
        <v>0.6333333333333333</v>
      </c>
      <c r="AG9" s="386">
        <f>+AE9</f>
        <v>0.6333333333333333</v>
      </c>
      <c r="AH9" s="386">
        <f>+AE9</f>
        <v>0.6333333333333333</v>
      </c>
      <c r="AI9" s="386">
        <f>+AE9</f>
        <v>0.6333333333333333</v>
      </c>
      <c r="AJ9" s="387">
        <f>+AE9</f>
        <v>0.6333333333333333</v>
      </c>
      <c r="AK9" s="384">
        <f>+'Cuadro Mando Integral Detallado'!AC364</f>
        <v>0.53302556188246142</v>
      </c>
      <c r="AL9" s="395">
        <f>+AK9</f>
        <v>0.53302556188246142</v>
      </c>
      <c r="AM9" s="390">
        <f>+AK9</f>
        <v>0.53302556188246142</v>
      </c>
      <c r="AN9" s="390">
        <f>+AK9</f>
        <v>0.53302556188246142</v>
      </c>
      <c r="AO9" s="390">
        <f>+AK9</f>
        <v>0.53302556188246142</v>
      </c>
      <c r="AP9" s="391">
        <f>+AK9</f>
        <v>0.53302556188246142</v>
      </c>
      <c r="AQ9" s="992">
        <f>0/37</f>
        <v>0</v>
      </c>
      <c r="AR9" s="367"/>
      <c r="AS9" s="384">
        <f>+'Cuadro Mando Integral Detallado'!AG364</f>
        <v>0.86923076923076925</v>
      </c>
      <c r="AT9" s="385">
        <f>+AS9</f>
        <v>0.86923076923076925</v>
      </c>
      <c r="AU9" s="386">
        <f>+AS9</f>
        <v>0.86923076923076925</v>
      </c>
      <c r="AV9" s="386">
        <f>+AS9</f>
        <v>0.86923076923076925</v>
      </c>
      <c r="AW9" s="386">
        <f>+AS9</f>
        <v>0.86923076923076925</v>
      </c>
      <c r="AX9" s="387">
        <f>+AS9</f>
        <v>0.86923076923076925</v>
      </c>
      <c r="AY9" s="393">
        <f>+'Cuadro Mando Integral Detallado'!AI364</f>
        <v>0.77777777777777779</v>
      </c>
      <c r="AZ9" s="395">
        <f>+AY9</f>
        <v>0.77777777777777779</v>
      </c>
      <c r="BA9" s="390">
        <f>+AY9</f>
        <v>0.77777777777777779</v>
      </c>
      <c r="BB9" s="390">
        <f>+AY9</f>
        <v>0.77777777777777779</v>
      </c>
      <c r="BC9" s="390">
        <f>+AY9</f>
        <v>0.77777777777777779</v>
      </c>
      <c r="BD9" s="391">
        <f>+AY9</f>
        <v>0.77777777777777779</v>
      </c>
      <c r="BE9" s="392">
        <v>3.125E-2</v>
      </c>
    </row>
    <row r="10" spans="1:60" ht="11.25" customHeight="1" thickBot="1" x14ac:dyDescent="0.3">
      <c r="A10" s="396"/>
      <c r="B10" s="352"/>
      <c r="O10" s="397"/>
      <c r="Q10" s="59"/>
      <c r="R10" s="59"/>
      <c r="S10" s="59"/>
      <c r="T10" s="59"/>
      <c r="U10" s="59"/>
      <c r="V10" s="59"/>
      <c r="W10" s="59"/>
      <c r="AC10" s="397"/>
      <c r="AD10" s="59"/>
      <c r="AE10" s="317"/>
      <c r="AF10" s="31"/>
      <c r="AG10" s="31"/>
      <c r="AH10" s="31"/>
      <c r="AI10" s="31"/>
      <c r="AJ10" s="31"/>
      <c r="AK10" s="317"/>
      <c r="AL10" s="398"/>
      <c r="AM10" s="398"/>
      <c r="AN10" s="398"/>
      <c r="AO10" s="398"/>
      <c r="AP10" s="398"/>
      <c r="AQ10" s="988"/>
      <c r="AR10" s="59"/>
      <c r="AS10" s="59"/>
      <c r="AY10" s="59"/>
      <c r="AZ10" s="316"/>
      <c r="BE10" s="398"/>
    </row>
    <row r="11" spans="1:60" ht="18.75" thickBot="1" x14ac:dyDescent="0.3">
      <c r="A11" s="399" t="s">
        <v>1197</v>
      </c>
      <c r="B11" s="354"/>
      <c r="C11" s="400">
        <f>+'Cuadro Mando Integral Detallado'!L365</f>
        <v>0.77056069755000045</v>
      </c>
      <c r="D11" s="411">
        <f>+C11</f>
        <v>0.77056069755000045</v>
      </c>
      <c r="E11" s="402">
        <f>+C11</f>
        <v>0.77056069755000045</v>
      </c>
      <c r="F11" s="402">
        <f>+C11</f>
        <v>0.77056069755000045</v>
      </c>
      <c r="G11" s="402">
        <f>+C11</f>
        <v>0.77056069755000045</v>
      </c>
      <c r="H11" s="403">
        <f>+C11</f>
        <v>0.77056069755000045</v>
      </c>
      <c r="I11" s="404">
        <f>+'Cuadro Mando Integral Detallado'!O365</f>
        <v>0.31223227398452402</v>
      </c>
      <c r="J11" s="405">
        <f>+I11</f>
        <v>0.31223227398452402</v>
      </c>
      <c r="K11" s="406">
        <f>+I11</f>
        <v>0.31223227398452402</v>
      </c>
      <c r="L11" s="406">
        <f>+I11</f>
        <v>0.31223227398452402</v>
      </c>
      <c r="M11" s="406">
        <f>+I11</f>
        <v>0.31223227398452402</v>
      </c>
      <c r="N11" s="407">
        <f>+I11</f>
        <v>0.31223227398452402</v>
      </c>
      <c r="O11" s="537">
        <f>2/(109+62+91+53)</f>
        <v>6.3492063492063492E-3</v>
      </c>
      <c r="P11" s="16"/>
      <c r="Q11" s="400">
        <f>+'Cuadro Mando Integral Detallado'!S365</f>
        <v>0.91241065875971161</v>
      </c>
      <c r="R11" s="401">
        <f>+Q11</f>
        <v>0.91241065875971161</v>
      </c>
      <c r="S11" s="402">
        <f>+Q11</f>
        <v>0.91241065875971161</v>
      </c>
      <c r="T11" s="402">
        <f>+Q11</f>
        <v>0.91241065875971161</v>
      </c>
      <c r="U11" s="402">
        <f>+Q11</f>
        <v>0.91241065875971161</v>
      </c>
      <c r="V11" s="403">
        <f>+Q11</f>
        <v>0.91241065875971161</v>
      </c>
      <c r="W11" s="408">
        <f>+'Cuadro Mando Integral Detallado'!V365</f>
        <v>0.44125725267642657</v>
      </c>
      <c r="X11" s="405">
        <f>+W11</f>
        <v>0.44125725267642657</v>
      </c>
      <c r="Y11" s="406">
        <f>+W11</f>
        <v>0.44125725267642657</v>
      </c>
      <c r="Z11" s="406">
        <f>+W11</f>
        <v>0.44125725267642657</v>
      </c>
      <c r="AA11" s="406">
        <f>+W11</f>
        <v>0.44125725267642657</v>
      </c>
      <c r="AB11" s="407">
        <f>+W11</f>
        <v>0.44125725267642657</v>
      </c>
      <c r="AC11" s="404">
        <f>8/(115+73+100+55)</f>
        <v>2.3323615160349854E-2</v>
      </c>
      <c r="AD11" s="409"/>
      <c r="AE11" s="400">
        <f>+'Cuadro Mando Integral Detallado'!Z365</f>
        <v>0.84173552612437563</v>
      </c>
      <c r="AF11" s="401">
        <f>+AE11</f>
        <v>0.84173552612437563</v>
      </c>
      <c r="AG11" s="402">
        <f>+AE11</f>
        <v>0.84173552612437563</v>
      </c>
      <c r="AH11" s="402">
        <f>+AE11</f>
        <v>0.84173552612437563</v>
      </c>
      <c r="AI11" s="402">
        <f>+AE11</f>
        <v>0.84173552612437563</v>
      </c>
      <c r="AJ11" s="403">
        <f>+AE11</f>
        <v>0.84173552612437563</v>
      </c>
      <c r="AK11" s="408">
        <f>+'Cuadro Mando Integral Detallado'!AC365</f>
        <v>0.60140598888802155</v>
      </c>
      <c r="AL11" s="411">
        <f>+AK11</f>
        <v>0.60140598888802155</v>
      </c>
      <c r="AM11" s="406">
        <f>+AK11</f>
        <v>0.60140598888802155</v>
      </c>
      <c r="AN11" s="406">
        <f>+AK11</f>
        <v>0.60140598888802155</v>
      </c>
      <c r="AO11" s="406">
        <f>+AK11</f>
        <v>0.60140598888802155</v>
      </c>
      <c r="AP11" s="407">
        <f>+AK11</f>
        <v>0.60140598888802155</v>
      </c>
      <c r="AQ11" s="993">
        <v>3.3457249070631967E-2</v>
      </c>
      <c r="AR11" s="409"/>
      <c r="AS11" s="400">
        <f>+'Cuadro Mando Integral Detallado'!AF365</f>
        <v>0.92636158916595446</v>
      </c>
      <c r="AT11" s="401">
        <f>+AS11</f>
        <v>0.92636158916595446</v>
      </c>
      <c r="AU11" s="402">
        <f>+AS11</f>
        <v>0.92636158916595446</v>
      </c>
      <c r="AV11" s="402">
        <f>+AS11</f>
        <v>0.92636158916595446</v>
      </c>
      <c r="AW11" s="402">
        <f>+AS11</f>
        <v>0.92636158916595446</v>
      </c>
      <c r="AX11" s="403">
        <f>+AS11</f>
        <v>0.92636158916595446</v>
      </c>
      <c r="AY11" s="408">
        <f>+'Cuadro Mando Integral Detallado'!AI365</f>
        <v>0.81480145735888609</v>
      </c>
      <c r="AZ11" s="411">
        <f>+AY11</f>
        <v>0.81480145735888609</v>
      </c>
      <c r="BA11" s="406">
        <f>+AY11</f>
        <v>0.81480145735888609</v>
      </c>
      <c r="BB11" s="406">
        <f>+AY11</f>
        <v>0.81480145735888609</v>
      </c>
      <c r="BC11" s="406">
        <f>+AY11</f>
        <v>0.81480145735888609</v>
      </c>
      <c r="BD11" s="407">
        <f>+AY11</f>
        <v>0.81480145735888609</v>
      </c>
      <c r="BE11" s="400">
        <v>6.0836501901140684E-2</v>
      </c>
    </row>
    <row r="12" spans="1:60" ht="8.25" customHeight="1" thickBot="1" x14ac:dyDescent="0.3">
      <c r="AC12" s="397"/>
    </row>
    <row r="13" spans="1:60" ht="18.75" thickBot="1" x14ac:dyDescent="0.3">
      <c r="A13" s="399" t="s">
        <v>1748</v>
      </c>
      <c r="C13" s="400">
        <f>+'Cuadro Mando Integral Detallado'!L367</f>
        <v>0.80930899356405339</v>
      </c>
      <c r="D13" s="401">
        <f>+C13</f>
        <v>0.80930899356405339</v>
      </c>
      <c r="E13" s="402">
        <f>+C13</f>
        <v>0.80930899356405339</v>
      </c>
      <c r="F13" s="402">
        <f>+C13</f>
        <v>0.80930899356405339</v>
      </c>
      <c r="G13" s="402">
        <f>+C13</f>
        <v>0.80930899356405339</v>
      </c>
      <c r="H13" s="403">
        <f>+C13</f>
        <v>0.80930899356405339</v>
      </c>
      <c r="I13" s="404">
        <f>+'Cuadro Mando Integral Detallado'!O367</f>
        <v>0.33468212655441248</v>
      </c>
      <c r="J13" s="405">
        <f>+I13</f>
        <v>0.33468212655441248</v>
      </c>
      <c r="K13" s="406">
        <f>+I13</f>
        <v>0.33468212655441248</v>
      </c>
      <c r="L13" s="406">
        <f>+I13</f>
        <v>0.33468212655441248</v>
      </c>
      <c r="M13" s="406">
        <f>+I13</f>
        <v>0.33468212655441248</v>
      </c>
      <c r="N13" s="407">
        <f>+I13</f>
        <v>0.33468212655441248</v>
      </c>
      <c r="O13" s="412"/>
      <c r="P13" s="16"/>
      <c r="Q13" s="400">
        <f>+'Cuadro Mando Integral Detallado'!S367</f>
        <v>0.9223970981101518</v>
      </c>
      <c r="R13" s="401">
        <f>+Q13</f>
        <v>0.9223970981101518</v>
      </c>
      <c r="S13" s="402">
        <f>+Q13</f>
        <v>0.9223970981101518</v>
      </c>
      <c r="T13" s="402">
        <f>+Q13</f>
        <v>0.9223970981101518</v>
      </c>
      <c r="U13" s="402">
        <f>+Q13</f>
        <v>0.9223970981101518</v>
      </c>
      <c r="V13" s="403">
        <f>+Q13</f>
        <v>0.9223970981101518</v>
      </c>
      <c r="W13" s="410">
        <f>+'Cuadro Mando Integral Detallado'!V367</f>
        <v>0.48220474723551576</v>
      </c>
      <c r="X13" s="405">
        <f>+W13</f>
        <v>0.48220474723551576</v>
      </c>
      <c r="Y13" s="406">
        <f>+W13</f>
        <v>0.48220474723551576</v>
      </c>
      <c r="Z13" s="406">
        <f>+W13</f>
        <v>0.48220474723551576</v>
      </c>
      <c r="AA13" s="406">
        <f>+W13</f>
        <v>0.48220474723551576</v>
      </c>
      <c r="AB13" s="407">
        <f>+W13</f>
        <v>0.48220474723551576</v>
      </c>
      <c r="AC13" s="413"/>
      <c r="AD13" s="409"/>
      <c r="AE13" s="400">
        <f>+'Cuadro Mando Integral Detallado'!Z367</f>
        <v>0.83878566373818064</v>
      </c>
      <c r="AF13" s="401">
        <f>+AE13</f>
        <v>0.83878566373818064</v>
      </c>
      <c r="AG13" s="402">
        <f>+AE13</f>
        <v>0.83878566373818064</v>
      </c>
      <c r="AH13" s="402">
        <f>+AE13</f>
        <v>0.83878566373818064</v>
      </c>
      <c r="AI13" s="402">
        <f>+AE13</f>
        <v>0.83878566373818064</v>
      </c>
      <c r="AJ13" s="403">
        <f>+AE13</f>
        <v>0.83878566373818064</v>
      </c>
      <c r="AK13" s="408">
        <f>+'Cuadro Mando Integral Detallado'!AC367</f>
        <v>0.67208577272672509</v>
      </c>
      <c r="AL13" s="395">
        <f>+AK13</f>
        <v>0.67208577272672509</v>
      </c>
      <c r="AM13" s="390">
        <f>+AK13</f>
        <v>0.67208577272672509</v>
      </c>
      <c r="AN13" s="390">
        <f>+AK13</f>
        <v>0.67208577272672509</v>
      </c>
      <c r="AO13" s="390">
        <f>+AK13</f>
        <v>0.67208577272672509</v>
      </c>
      <c r="AP13" s="391">
        <f>+AK13</f>
        <v>0.67208577272672509</v>
      </c>
      <c r="AQ13" s="412"/>
      <c r="AR13" s="409"/>
      <c r="AS13" s="400">
        <f>+'Cuadro Mando Integral Detallado'!AG367</f>
        <v>0.9108383382893579</v>
      </c>
      <c r="AT13" s="401">
        <f>+AS13</f>
        <v>0.9108383382893579</v>
      </c>
      <c r="AU13" s="402">
        <f>+AS13</f>
        <v>0.9108383382893579</v>
      </c>
      <c r="AV13" s="402">
        <f>+AS13</f>
        <v>0.9108383382893579</v>
      </c>
      <c r="AW13" s="402">
        <f>+AS13</f>
        <v>0.9108383382893579</v>
      </c>
      <c r="AX13" s="403">
        <f>+AS13</f>
        <v>0.9108383382893579</v>
      </c>
      <c r="AY13" s="408">
        <f>+'Cuadro Mando Integral Detallado'!AI367</f>
        <v>0.86279103443956806</v>
      </c>
      <c r="AZ13" s="411">
        <f>+AY13</f>
        <v>0.86279103443956806</v>
      </c>
      <c r="BA13" s="406">
        <f>+AY13</f>
        <v>0.86279103443956806</v>
      </c>
      <c r="BB13" s="406">
        <f>+AY13</f>
        <v>0.86279103443956806</v>
      </c>
      <c r="BC13" s="406">
        <f>+AY13</f>
        <v>0.86279103443956806</v>
      </c>
      <c r="BD13" s="407">
        <f>+AY13</f>
        <v>0.86279103443956806</v>
      </c>
    </row>
    <row r="14" spans="1:60" s="6" customFormat="1" x14ac:dyDescent="0.25">
      <c r="A14" s="256"/>
    </row>
    <row r="15" spans="1:60" s="6" customFormat="1" x14ac:dyDescent="0.25">
      <c r="A15" s="256"/>
    </row>
    <row r="16" spans="1:60" x14ac:dyDescent="0.25">
      <c r="W16" s="414"/>
      <c r="AK16" s="414"/>
      <c r="AL16" s="414"/>
      <c r="AM16" s="414"/>
      <c r="AN16" s="414"/>
      <c r="AO16" s="414"/>
      <c r="AP16" s="414"/>
      <c r="AQ16" s="414"/>
      <c r="AY16" s="414"/>
    </row>
    <row r="17" spans="23:51" x14ac:dyDescent="0.25">
      <c r="W17" s="414"/>
      <c r="AK17" s="414"/>
      <c r="AL17" s="414"/>
      <c r="AM17" s="414"/>
      <c r="AN17" s="414"/>
      <c r="AO17" s="414"/>
      <c r="AP17" s="414"/>
      <c r="AQ17" s="414"/>
      <c r="AY17" s="414"/>
    </row>
    <row r="18" spans="23:51" x14ac:dyDescent="0.25">
      <c r="W18" s="414"/>
      <c r="AK18" s="414"/>
      <c r="AL18" s="414"/>
      <c r="AM18" s="414"/>
      <c r="AN18" s="414"/>
      <c r="AO18" s="414"/>
      <c r="AP18" s="414"/>
      <c r="AQ18" s="414"/>
      <c r="AY18" s="414"/>
    </row>
    <row r="19" spans="23:51" x14ac:dyDescent="0.25">
      <c r="W19" s="414"/>
      <c r="AK19" s="414"/>
      <c r="AL19" s="414"/>
      <c r="AM19" s="414"/>
      <c r="AN19" s="414"/>
      <c r="AO19" s="414"/>
      <c r="AP19" s="414"/>
      <c r="AQ19" s="414"/>
      <c r="AY19" s="414"/>
    </row>
    <row r="20" spans="23:51" x14ac:dyDescent="0.25">
      <c r="W20" s="414"/>
    </row>
    <row r="24" spans="23:51" ht="18" customHeight="1" x14ac:dyDescent="0.25"/>
  </sheetData>
  <sheetProtection algorithmName="SHA-512" hashValue="lvzamQ8pUi4NuZDxZwHmFCODReyHKM3Oh90HtB0QklZIHDnagteqWC4yCFeNeByB8kgxK0SXbWhPVcfFUEY9Ng==" saltValue="rwjA0XMvfhY4OCVo5KKq4w==" spinCount="100000" sheet="1" objects="1" scenarios="1"/>
  <mergeCells count="18">
    <mergeCell ref="AS5:AX5"/>
    <mergeCell ref="AY5:BD5"/>
    <mergeCell ref="C5:H5"/>
    <mergeCell ref="I5:N5"/>
    <mergeCell ref="Q5:V5"/>
    <mergeCell ref="W5:AB5"/>
    <mergeCell ref="AE5:AJ5"/>
    <mergeCell ref="AK5:AP5"/>
    <mergeCell ref="A1:A3"/>
    <mergeCell ref="B1:H1"/>
    <mergeCell ref="I1:AR1"/>
    <mergeCell ref="AS1:BD3"/>
    <mergeCell ref="B2:H2"/>
    <mergeCell ref="I2:AR2"/>
    <mergeCell ref="B3:H3"/>
    <mergeCell ref="I3:N3"/>
    <mergeCell ref="P3:AJ3"/>
    <mergeCell ref="AL3:AR3"/>
  </mergeCells>
  <conditionalFormatting sqref="D6">
    <cfRule type="cellIs" dxfId="1119" priority="276" stopIfTrue="1" operator="between">
      <formula>0</formula>
      <formula>0.5</formula>
    </cfRule>
  </conditionalFormatting>
  <conditionalFormatting sqref="AL6">
    <cfRule type="cellIs" dxfId="1118" priority="275" stopIfTrue="1" operator="between">
      <formula>0</formula>
      <formula>0.375</formula>
    </cfRule>
  </conditionalFormatting>
  <conditionalFormatting sqref="J6">
    <cfRule type="cellIs" dxfId="1117" priority="274" stopIfTrue="1" operator="between">
      <formula>0</formula>
      <formula>0.125</formula>
    </cfRule>
  </conditionalFormatting>
  <conditionalFormatting sqref="X6">
    <cfRule type="cellIs" dxfId="1116" priority="273" stopIfTrue="1" operator="between">
      <formula>0</formula>
      <formula>0.255</formula>
    </cfRule>
  </conditionalFormatting>
  <conditionalFormatting sqref="AZ6">
    <cfRule type="cellIs" dxfId="1115" priority="272" stopIfTrue="1" operator="between">
      <formula>0</formula>
      <formula>0.5</formula>
    </cfRule>
  </conditionalFormatting>
  <conditionalFormatting sqref="E6">
    <cfRule type="cellIs" dxfId="1114" priority="271" operator="between">
      <formula>0.51</formula>
      <formula>0.75</formula>
    </cfRule>
  </conditionalFormatting>
  <conditionalFormatting sqref="F6">
    <cfRule type="cellIs" dxfId="1113" priority="270" operator="between">
      <formula>0.76</formula>
      <formula>0.95</formula>
    </cfRule>
  </conditionalFormatting>
  <conditionalFormatting sqref="G6">
    <cfRule type="cellIs" dxfId="1112" priority="269" operator="between">
      <formula>0.96</formula>
      <formula>1</formula>
    </cfRule>
  </conditionalFormatting>
  <conditionalFormatting sqref="H6">
    <cfRule type="cellIs" dxfId="1111" priority="268" operator="greaterThan">
      <formula>1</formula>
    </cfRule>
  </conditionalFormatting>
  <conditionalFormatting sqref="D7">
    <cfRule type="cellIs" dxfId="1110" priority="267" stopIfTrue="1" operator="between">
      <formula>0</formula>
      <formula>0.5</formula>
    </cfRule>
  </conditionalFormatting>
  <conditionalFormatting sqref="E7">
    <cfRule type="cellIs" dxfId="1109" priority="266" operator="between">
      <formula>0.51</formula>
      <formula>0.75</formula>
    </cfRule>
  </conditionalFormatting>
  <conditionalFormatting sqref="F7">
    <cfRule type="cellIs" dxfId="1108" priority="265" operator="between">
      <formula>0.76</formula>
      <formula>0.95</formula>
    </cfRule>
  </conditionalFormatting>
  <conditionalFormatting sqref="H7">
    <cfRule type="cellIs" dxfId="1107" priority="263" operator="greaterThan">
      <formula>1</formula>
    </cfRule>
  </conditionalFormatting>
  <conditionalFormatting sqref="D8">
    <cfRule type="cellIs" dxfId="1106" priority="262" stopIfTrue="1" operator="between">
      <formula>0</formula>
      <formula>0.5</formula>
    </cfRule>
  </conditionalFormatting>
  <conditionalFormatting sqref="E8">
    <cfRule type="cellIs" dxfId="1105" priority="261" operator="between">
      <formula>0.51</formula>
      <formula>0.75</formula>
    </cfRule>
  </conditionalFormatting>
  <conditionalFormatting sqref="F8">
    <cfRule type="cellIs" dxfId="1104" priority="260" operator="between">
      <formula>0.76</formula>
      <formula>0.95</formula>
    </cfRule>
  </conditionalFormatting>
  <conditionalFormatting sqref="H8">
    <cfRule type="cellIs" dxfId="1103" priority="258" operator="greaterThan">
      <formula>1</formula>
    </cfRule>
  </conditionalFormatting>
  <conditionalFormatting sqref="D9">
    <cfRule type="cellIs" dxfId="1102" priority="257" stopIfTrue="1" operator="between">
      <formula>0</formula>
      <formula>0.5</formula>
    </cfRule>
  </conditionalFormatting>
  <conditionalFormatting sqref="E9">
    <cfRule type="cellIs" dxfId="1101" priority="256" operator="between">
      <formula>0.51</formula>
      <formula>0.75</formula>
    </cfRule>
  </conditionalFormatting>
  <conditionalFormatting sqref="F9">
    <cfRule type="cellIs" dxfId="1100" priority="255" operator="between">
      <formula>0.76</formula>
      <formula>0.95</formula>
    </cfRule>
  </conditionalFormatting>
  <conditionalFormatting sqref="H9">
    <cfRule type="cellIs" dxfId="1099" priority="253" operator="greaterThan">
      <formula>1</formula>
    </cfRule>
  </conditionalFormatting>
  <conditionalFormatting sqref="D11">
    <cfRule type="cellIs" dxfId="1098" priority="252" stopIfTrue="1" operator="between">
      <formula>0</formula>
      <formula>0.5</formula>
    </cfRule>
  </conditionalFormatting>
  <conditionalFormatting sqref="E11">
    <cfRule type="cellIs" dxfId="1097" priority="251" operator="between">
      <formula>0.51</formula>
      <formula>0.75</formula>
    </cfRule>
  </conditionalFormatting>
  <conditionalFormatting sqref="F11">
    <cfRule type="cellIs" dxfId="1096" priority="250" operator="between">
      <formula>0.76</formula>
      <formula>0.95</formula>
    </cfRule>
  </conditionalFormatting>
  <conditionalFormatting sqref="H11">
    <cfRule type="cellIs" dxfId="1095" priority="248" operator="greaterThan">
      <formula>1</formula>
    </cfRule>
  </conditionalFormatting>
  <conditionalFormatting sqref="R6">
    <cfRule type="cellIs" dxfId="1094" priority="247" stopIfTrue="1" operator="between">
      <formula>0</formula>
      <formula>0.5</formula>
    </cfRule>
  </conditionalFormatting>
  <conditionalFormatting sqref="S6">
    <cfRule type="cellIs" dxfId="1093" priority="246" operator="between">
      <formula>0.51</formula>
      <formula>0.75</formula>
    </cfRule>
  </conditionalFormatting>
  <conditionalFormatting sqref="T6">
    <cfRule type="cellIs" dxfId="1092" priority="245" operator="between">
      <formula>0.76</formula>
      <formula>0.95</formula>
    </cfRule>
  </conditionalFormatting>
  <conditionalFormatting sqref="U6">
    <cfRule type="cellIs" dxfId="1091" priority="244" operator="between">
      <formula>0.95</formula>
      <formula>1</formula>
    </cfRule>
  </conditionalFormatting>
  <conditionalFormatting sqref="V6">
    <cfRule type="cellIs" dxfId="1090" priority="243" operator="greaterThan">
      <formula>1</formula>
    </cfRule>
  </conditionalFormatting>
  <conditionalFormatting sqref="R7">
    <cfRule type="cellIs" dxfId="1089" priority="242" stopIfTrue="1" operator="between">
      <formula>0</formula>
      <formula>0.5</formula>
    </cfRule>
  </conditionalFormatting>
  <conditionalFormatting sqref="S7">
    <cfRule type="cellIs" dxfId="1088" priority="241" operator="between">
      <formula>0.51</formula>
      <formula>0.75</formula>
    </cfRule>
  </conditionalFormatting>
  <conditionalFormatting sqref="T7">
    <cfRule type="cellIs" dxfId="1087" priority="240" operator="between">
      <formula>0.76</formula>
      <formula>0.95</formula>
    </cfRule>
  </conditionalFormatting>
  <conditionalFormatting sqref="U7">
    <cfRule type="cellIs" dxfId="1086" priority="239" operator="between">
      <formula>0.95</formula>
      <formula>1</formula>
    </cfRule>
  </conditionalFormatting>
  <conditionalFormatting sqref="V7">
    <cfRule type="cellIs" dxfId="1085" priority="238" operator="greaterThan">
      <formula>1</formula>
    </cfRule>
  </conditionalFormatting>
  <conditionalFormatting sqref="R8">
    <cfRule type="cellIs" dxfId="1084" priority="237" stopIfTrue="1" operator="between">
      <formula>0</formula>
      <formula>0.5</formula>
    </cfRule>
  </conditionalFormatting>
  <conditionalFormatting sqref="S8">
    <cfRule type="cellIs" dxfId="1083" priority="236" operator="between">
      <formula>0.51</formula>
      <formula>0.75</formula>
    </cfRule>
  </conditionalFormatting>
  <conditionalFormatting sqref="T8">
    <cfRule type="cellIs" dxfId="1082" priority="235" operator="between">
      <formula>0.76</formula>
      <formula>0.95</formula>
    </cfRule>
  </conditionalFormatting>
  <conditionalFormatting sqref="U8">
    <cfRule type="cellIs" dxfId="1081" priority="234" operator="between">
      <formula>0.95</formula>
      <formula>1</formula>
    </cfRule>
  </conditionalFormatting>
  <conditionalFormatting sqref="V8">
    <cfRule type="cellIs" dxfId="1080" priority="233" operator="greaterThan">
      <formula>1</formula>
    </cfRule>
  </conditionalFormatting>
  <conditionalFormatting sqref="R9">
    <cfRule type="cellIs" dxfId="1079" priority="232" stopIfTrue="1" operator="between">
      <formula>0</formula>
      <formula>0.5</formula>
    </cfRule>
  </conditionalFormatting>
  <conditionalFormatting sqref="S9">
    <cfRule type="cellIs" dxfId="1078" priority="231" operator="between">
      <formula>0.51</formula>
      <formula>0.75</formula>
    </cfRule>
  </conditionalFormatting>
  <conditionalFormatting sqref="T9">
    <cfRule type="cellIs" dxfId="1077" priority="230" operator="between">
      <formula>0.76</formula>
      <formula>0.95</formula>
    </cfRule>
  </conditionalFormatting>
  <conditionalFormatting sqref="U9">
    <cfRule type="cellIs" dxfId="1076" priority="229" operator="between">
      <formula>0.95</formula>
      <formula>1</formula>
    </cfRule>
  </conditionalFormatting>
  <conditionalFormatting sqref="V9">
    <cfRule type="cellIs" dxfId="1075" priority="228" operator="greaterThan">
      <formula>1</formula>
    </cfRule>
  </conditionalFormatting>
  <conditionalFormatting sqref="AF6">
    <cfRule type="cellIs" dxfId="1074" priority="227" stopIfTrue="1" operator="between">
      <formula>0</formula>
      <formula>0.5</formula>
    </cfRule>
  </conditionalFormatting>
  <conditionalFormatting sqref="AG6">
    <cfRule type="cellIs" dxfId="1073" priority="226" operator="between">
      <formula>0.51</formula>
      <formula>0.75</formula>
    </cfRule>
  </conditionalFormatting>
  <conditionalFormatting sqref="AH6">
    <cfRule type="cellIs" dxfId="1072" priority="225" operator="between">
      <formula>0.76</formula>
      <formula>0.95</formula>
    </cfRule>
  </conditionalFormatting>
  <conditionalFormatting sqref="AI6">
    <cfRule type="cellIs" dxfId="1071" priority="224" operator="between">
      <formula>0.95</formula>
      <formula>1</formula>
    </cfRule>
  </conditionalFormatting>
  <conditionalFormatting sqref="AJ6">
    <cfRule type="cellIs" dxfId="1070" priority="223" operator="greaterThan">
      <formula>1</formula>
    </cfRule>
  </conditionalFormatting>
  <conditionalFormatting sqref="AF7">
    <cfRule type="cellIs" dxfId="1069" priority="222" stopIfTrue="1" operator="between">
      <formula>0</formula>
      <formula>0.5</formula>
    </cfRule>
  </conditionalFormatting>
  <conditionalFormatting sqref="AG7">
    <cfRule type="cellIs" dxfId="1068" priority="221" operator="between">
      <formula>0.51</formula>
      <formula>0.75</formula>
    </cfRule>
  </conditionalFormatting>
  <conditionalFormatting sqref="AH7">
    <cfRule type="cellIs" dxfId="1067" priority="220" operator="between">
      <formula>0.76</formula>
      <formula>0.95</formula>
    </cfRule>
  </conditionalFormatting>
  <conditionalFormatting sqref="AI7">
    <cfRule type="cellIs" dxfId="1066" priority="219" operator="between">
      <formula>0.95</formula>
      <formula>1</formula>
    </cfRule>
  </conditionalFormatting>
  <conditionalFormatting sqref="AJ7">
    <cfRule type="cellIs" dxfId="1065" priority="218" operator="greaterThan">
      <formula>1</formula>
    </cfRule>
  </conditionalFormatting>
  <conditionalFormatting sqref="AF8">
    <cfRule type="cellIs" dxfId="1064" priority="217" stopIfTrue="1" operator="between">
      <formula>0</formula>
      <formula>0.5</formula>
    </cfRule>
  </conditionalFormatting>
  <conditionalFormatting sqref="AG8">
    <cfRule type="cellIs" dxfId="1063" priority="216" operator="between">
      <formula>0.51</formula>
      <formula>0.75</formula>
    </cfRule>
  </conditionalFormatting>
  <conditionalFormatting sqref="AH8">
    <cfRule type="cellIs" dxfId="1062" priority="215" operator="between">
      <formula>0.76</formula>
      <formula>0.95</formula>
    </cfRule>
  </conditionalFormatting>
  <conditionalFormatting sqref="AI8">
    <cfRule type="cellIs" dxfId="1061" priority="214" operator="between">
      <formula>0.95</formula>
      <formula>1</formula>
    </cfRule>
  </conditionalFormatting>
  <conditionalFormatting sqref="AJ8">
    <cfRule type="cellIs" dxfId="1060" priority="213" operator="greaterThan">
      <formula>1</formula>
    </cfRule>
  </conditionalFormatting>
  <conditionalFormatting sqref="AF9">
    <cfRule type="cellIs" dxfId="1059" priority="212" stopIfTrue="1" operator="between">
      <formula>0</formula>
      <formula>0.5</formula>
    </cfRule>
  </conditionalFormatting>
  <conditionalFormatting sqref="AG9">
    <cfRule type="cellIs" dxfId="1058" priority="211" operator="between">
      <formula>0.51</formula>
      <formula>0.75</formula>
    </cfRule>
  </conditionalFormatting>
  <conditionalFormatting sqref="AH9">
    <cfRule type="cellIs" dxfId="1057" priority="210" operator="between">
      <formula>0.76</formula>
      <formula>0.95</formula>
    </cfRule>
  </conditionalFormatting>
  <conditionalFormatting sqref="AI9">
    <cfRule type="cellIs" dxfId="1056" priority="209" operator="between">
      <formula>0.95</formula>
      <formula>1</formula>
    </cfRule>
  </conditionalFormatting>
  <conditionalFormatting sqref="AJ9">
    <cfRule type="cellIs" dxfId="1055" priority="208" operator="greaterThan">
      <formula>1</formula>
    </cfRule>
  </conditionalFormatting>
  <conditionalFormatting sqref="AT6">
    <cfRule type="cellIs" dxfId="1054" priority="207" stopIfTrue="1" operator="between">
      <formula>0</formula>
      <formula>0.5</formula>
    </cfRule>
  </conditionalFormatting>
  <conditionalFormatting sqref="AU6">
    <cfRule type="cellIs" dxfId="1053" priority="206" operator="between">
      <formula>0.51</formula>
      <formula>0.75</formula>
    </cfRule>
  </conditionalFormatting>
  <conditionalFormatting sqref="AV6">
    <cfRule type="cellIs" dxfId="1052" priority="205" operator="between">
      <formula>0.76</formula>
      <formula>0.95</formula>
    </cfRule>
  </conditionalFormatting>
  <conditionalFormatting sqref="AW6">
    <cfRule type="cellIs" dxfId="1051" priority="204" operator="between">
      <formula>0.95</formula>
      <formula>1</formula>
    </cfRule>
  </conditionalFormatting>
  <conditionalFormatting sqref="AX6">
    <cfRule type="cellIs" dxfId="1050" priority="203" operator="greaterThan">
      <formula>1</formula>
    </cfRule>
  </conditionalFormatting>
  <conditionalFormatting sqref="AT7">
    <cfRule type="cellIs" dxfId="1049" priority="202" stopIfTrue="1" operator="between">
      <formula>0</formula>
      <formula>0.5</formula>
    </cfRule>
  </conditionalFormatting>
  <conditionalFormatting sqref="AU7">
    <cfRule type="cellIs" dxfId="1048" priority="201" operator="between">
      <formula>0.51</formula>
      <formula>0.75</formula>
    </cfRule>
  </conditionalFormatting>
  <conditionalFormatting sqref="AV7">
    <cfRule type="cellIs" dxfId="1047" priority="200" operator="between">
      <formula>0.76</formula>
      <formula>0.95</formula>
    </cfRule>
  </conditionalFormatting>
  <conditionalFormatting sqref="AW7">
    <cfRule type="cellIs" dxfId="1046" priority="199" operator="between">
      <formula>0.95</formula>
      <formula>1</formula>
    </cfRule>
  </conditionalFormatting>
  <conditionalFormatting sqref="AX7">
    <cfRule type="cellIs" dxfId="1045" priority="198" operator="greaterThan">
      <formula>1</formula>
    </cfRule>
  </conditionalFormatting>
  <conditionalFormatting sqref="AT8">
    <cfRule type="cellIs" dxfId="1044" priority="197" stopIfTrue="1" operator="between">
      <formula>0</formula>
      <formula>0.5</formula>
    </cfRule>
  </conditionalFormatting>
  <conditionalFormatting sqref="AU8">
    <cfRule type="cellIs" dxfId="1043" priority="196" operator="between">
      <formula>0.51</formula>
      <formula>0.75</formula>
    </cfRule>
  </conditionalFormatting>
  <conditionalFormatting sqref="AV8">
    <cfRule type="cellIs" dxfId="1042" priority="195" operator="between">
      <formula>0.76</formula>
      <formula>0.95</formula>
    </cfRule>
  </conditionalFormatting>
  <conditionalFormatting sqref="AW8">
    <cfRule type="cellIs" dxfId="1041" priority="194" operator="between">
      <formula>0.95</formula>
      <formula>1</formula>
    </cfRule>
  </conditionalFormatting>
  <conditionalFormatting sqref="AX8">
    <cfRule type="cellIs" dxfId="1040" priority="193" operator="greaterThan">
      <formula>1</formula>
    </cfRule>
  </conditionalFormatting>
  <conditionalFormatting sqref="AT9">
    <cfRule type="cellIs" dxfId="1039" priority="192" stopIfTrue="1" operator="between">
      <formula>0</formula>
      <formula>0.5</formula>
    </cfRule>
  </conditionalFormatting>
  <conditionalFormatting sqref="AU9">
    <cfRule type="cellIs" dxfId="1038" priority="191" operator="between">
      <formula>0.51</formula>
      <formula>0.75</formula>
    </cfRule>
  </conditionalFormatting>
  <conditionalFormatting sqref="AV9">
    <cfRule type="cellIs" dxfId="1037" priority="190" operator="between">
      <formula>0.76</formula>
      <formula>0.95</formula>
    </cfRule>
  </conditionalFormatting>
  <conditionalFormatting sqref="AW9">
    <cfRule type="cellIs" dxfId="1036" priority="189" operator="between">
      <formula>0.95</formula>
      <formula>1</formula>
    </cfRule>
  </conditionalFormatting>
  <conditionalFormatting sqref="AX9">
    <cfRule type="cellIs" dxfId="1035" priority="188" operator="greaterThan">
      <formula>1</formula>
    </cfRule>
  </conditionalFormatting>
  <conditionalFormatting sqref="R11">
    <cfRule type="cellIs" dxfId="1034" priority="187" stopIfTrue="1" operator="between">
      <formula>0</formula>
      <formula>0.5</formula>
    </cfRule>
  </conditionalFormatting>
  <conditionalFormatting sqref="S11">
    <cfRule type="cellIs" dxfId="1033" priority="186" operator="between">
      <formula>0.51</formula>
      <formula>0.75</formula>
    </cfRule>
  </conditionalFormatting>
  <conditionalFormatting sqref="T11">
    <cfRule type="cellIs" dxfId="1032" priority="185" operator="between">
      <formula>0.76</formula>
      <formula>0.95</formula>
    </cfRule>
  </conditionalFormatting>
  <conditionalFormatting sqref="U11">
    <cfRule type="cellIs" dxfId="1031" priority="184" operator="between">
      <formula>0.95</formula>
      <formula>1</formula>
    </cfRule>
  </conditionalFormatting>
  <conditionalFormatting sqref="V11">
    <cfRule type="cellIs" dxfId="1030" priority="183" operator="greaterThan">
      <formula>1</formula>
    </cfRule>
  </conditionalFormatting>
  <conditionalFormatting sqref="AF11">
    <cfRule type="cellIs" dxfId="1029" priority="182" stopIfTrue="1" operator="between">
      <formula>0</formula>
      <formula>0.5</formula>
    </cfRule>
  </conditionalFormatting>
  <conditionalFormatting sqref="AG11">
    <cfRule type="cellIs" dxfId="1028" priority="181" operator="between">
      <formula>0.51</formula>
      <formula>0.75</formula>
    </cfRule>
  </conditionalFormatting>
  <conditionalFormatting sqref="AH11">
    <cfRule type="cellIs" dxfId="1027" priority="180" operator="between">
      <formula>0.76</formula>
      <formula>0.95</formula>
    </cfRule>
  </conditionalFormatting>
  <conditionalFormatting sqref="AI11">
    <cfRule type="cellIs" dxfId="1026" priority="179" operator="between">
      <formula>0.95</formula>
      <formula>1</formula>
    </cfRule>
  </conditionalFormatting>
  <conditionalFormatting sqref="AJ11">
    <cfRule type="cellIs" dxfId="1025" priority="178" operator="greaterThan">
      <formula>1</formula>
    </cfRule>
  </conditionalFormatting>
  <conditionalFormatting sqref="AT11">
    <cfRule type="cellIs" dxfId="1024" priority="177" stopIfTrue="1" operator="between">
      <formula>0</formula>
      <formula>0.5</formula>
    </cfRule>
  </conditionalFormatting>
  <conditionalFormatting sqref="AU11">
    <cfRule type="cellIs" dxfId="1023" priority="176" operator="between">
      <formula>0.51</formula>
      <formula>0.75</formula>
    </cfRule>
  </conditionalFormatting>
  <conditionalFormatting sqref="AV11">
    <cfRule type="cellIs" dxfId="1022" priority="175" operator="between">
      <formula>0.76</formula>
      <formula>0.95</formula>
    </cfRule>
  </conditionalFormatting>
  <conditionalFormatting sqref="AW11">
    <cfRule type="cellIs" dxfId="1021" priority="174" operator="between">
      <formula>0.95</formula>
      <formula>1</formula>
    </cfRule>
  </conditionalFormatting>
  <conditionalFormatting sqref="AX11">
    <cfRule type="cellIs" dxfId="1020" priority="173" operator="greaterThan">
      <formula>1</formula>
    </cfRule>
  </conditionalFormatting>
  <conditionalFormatting sqref="K6">
    <cfRule type="cellIs" dxfId="1019" priority="172" operator="between">
      <formula>0.1251</formula>
      <formula>0.1875</formula>
    </cfRule>
  </conditionalFormatting>
  <conditionalFormatting sqref="L6">
    <cfRule type="cellIs" dxfId="1018" priority="171" operator="between">
      <formula>0.1876</formula>
      <formula>0.2375</formula>
    </cfRule>
  </conditionalFormatting>
  <conditionalFormatting sqref="M6">
    <cfRule type="cellIs" dxfId="1017" priority="170" operator="between">
      <formula>0.2376</formula>
      <formula>0.25</formula>
    </cfRule>
  </conditionalFormatting>
  <conditionalFormatting sqref="N6">
    <cfRule type="cellIs" dxfId="1016" priority="169" operator="greaterThan">
      <formula>0.25</formula>
    </cfRule>
  </conditionalFormatting>
  <conditionalFormatting sqref="Y6">
    <cfRule type="cellIs" dxfId="1015" priority="148" operator="between">
      <formula>0.2551</formula>
      <formula>0.375</formula>
    </cfRule>
  </conditionalFormatting>
  <conditionalFormatting sqref="Z6">
    <cfRule type="cellIs" dxfId="1014" priority="147" operator="between">
      <formula>0.38</formula>
      <formula>0.475</formula>
    </cfRule>
  </conditionalFormatting>
  <conditionalFormatting sqref="AA6">
    <cfRule type="cellIs" dxfId="1013" priority="146" operator="between">
      <formula>0.48</formula>
      <formula>0.51</formula>
    </cfRule>
  </conditionalFormatting>
  <conditionalFormatting sqref="AB6:AC6">
    <cfRule type="cellIs" dxfId="1012" priority="145" operator="greaterThan">
      <formula>0.505</formula>
    </cfRule>
  </conditionalFormatting>
  <conditionalFormatting sqref="X7">
    <cfRule type="cellIs" dxfId="1011" priority="144" stopIfTrue="1" operator="between">
      <formula>0</formula>
      <formula>0.255</formula>
    </cfRule>
  </conditionalFormatting>
  <conditionalFormatting sqref="Y7">
    <cfRule type="cellIs" dxfId="1010" priority="143" operator="between">
      <formula>0.2551</formula>
      <formula>0.375</formula>
    </cfRule>
  </conditionalFormatting>
  <conditionalFormatting sqref="Z7">
    <cfRule type="cellIs" dxfId="1009" priority="142" operator="between">
      <formula>0.38</formula>
      <formula>0.475</formula>
    </cfRule>
  </conditionalFormatting>
  <conditionalFormatting sqref="AA7">
    <cfRule type="cellIs" dxfId="1008" priority="141" operator="between">
      <formula>0.48</formula>
      <formula>0.51</formula>
    </cfRule>
  </conditionalFormatting>
  <conditionalFormatting sqref="AB7:AC7">
    <cfRule type="cellIs" dxfId="1007" priority="140" operator="greaterThan">
      <formula>0.505</formula>
    </cfRule>
  </conditionalFormatting>
  <conditionalFormatting sqref="X8">
    <cfRule type="cellIs" dxfId="1006" priority="139" stopIfTrue="1" operator="between">
      <formula>0</formula>
      <formula>0.255</formula>
    </cfRule>
  </conditionalFormatting>
  <conditionalFormatting sqref="Y8">
    <cfRule type="cellIs" dxfId="1005" priority="138" operator="between">
      <formula>0.2551</formula>
      <formula>0.375</formula>
    </cfRule>
  </conditionalFormatting>
  <conditionalFormatting sqref="Z8">
    <cfRule type="cellIs" dxfId="1004" priority="137" operator="between">
      <formula>0.38</formula>
      <formula>0.475</formula>
    </cfRule>
  </conditionalFormatting>
  <conditionalFormatting sqref="AA8">
    <cfRule type="cellIs" dxfId="1003" priority="136" operator="between">
      <formula>0.48</formula>
      <formula>0.51</formula>
    </cfRule>
  </conditionalFormatting>
  <conditionalFormatting sqref="AB8:AC8">
    <cfRule type="cellIs" dxfId="1002" priority="135" operator="greaterThan">
      <formula>0.505</formula>
    </cfRule>
  </conditionalFormatting>
  <conditionalFormatting sqref="X9">
    <cfRule type="cellIs" dxfId="1001" priority="134" stopIfTrue="1" operator="between">
      <formula>0</formula>
      <formula>0.255</formula>
    </cfRule>
  </conditionalFormatting>
  <conditionalFormatting sqref="Y9">
    <cfRule type="cellIs" dxfId="1000" priority="133" operator="between">
      <formula>0.2551</formula>
      <formula>0.375</formula>
    </cfRule>
  </conditionalFormatting>
  <conditionalFormatting sqref="Z9">
    <cfRule type="cellIs" dxfId="999" priority="132" operator="between">
      <formula>0.38</formula>
      <formula>0.475</formula>
    </cfRule>
  </conditionalFormatting>
  <conditionalFormatting sqref="AA9">
    <cfRule type="cellIs" dxfId="998" priority="131" operator="between">
      <formula>0.48</formula>
      <formula>0.51</formula>
    </cfRule>
  </conditionalFormatting>
  <conditionalFormatting sqref="AB9:AC9">
    <cfRule type="cellIs" dxfId="997" priority="130" operator="greaterThan">
      <formula>0.505</formula>
    </cfRule>
  </conditionalFormatting>
  <conditionalFormatting sqref="X11">
    <cfRule type="cellIs" dxfId="996" priority="129" stopIfTrue="1" operator="between">
      <formula>0</formula>
      <formula>0.255</formula>
    </cfRule>
  </conditionalFormatting>
  <conditionalFormatting sqref="Y11">
    <cfRule type="cellIs" dxfId="995" priority="128" operator="between">
      <formula>0.2551</formula>
      <formula>0.375</formula>
    </cfRule>
  </conditionalFormatting>
  <conditionalFormatting sqref="Z11">
    <cfRule type="cellIs" dxfId="994" priority="127" operator="between">
      <formula>0.38</formula>
      <formula>0.475</formula>
    </cfRule>
  </conditionalFormatting>
  <conditionalFormatting sqref="AA11">
    <cfRule type="cellIs" dxfId="993" priority="126" operator="between">
      <formula>0.48</formula>
      <formula>0.51</formula>
    </cfRule>
  </conditionalFormatting>
  <conditionalFormatting sqref="AB11:AC11">
    <cfRule type="cellIs" dxfId="992" priority="125" operator="greaterThan">
      <formula>0.505</formula>
    </cfRule>
  </conditionalFormatting>
  <conditionalFormatting sqref="AM6">
    <cfRule type="cellIs" dxfId="991" priority="124" operator="between">
      <formula>0.3751</formula>
      <formula>0.5625</formula>
    </cfRule>
  </conditionalFormatting>
  <conditionalFormatting sqref="AN6">
    <cfRule type="cellIs" dxfId="990" priority="123" operator="between">
      <formula>0.563</formula>
      <formula>0.7125</formula>
    </cfRule>
  </conditionalFormatting>
  <conditionalFormatting sqref="AO6">
    <cfRule type="cellIs" dxfId="989" priority="122" operator="between">
      <formula>0.713</formula>
      <formula>0.75</formula>
    </cfRule>
  </conditionalFormatting>
  <conditionalFormatting sqref="AP6">
    <cfRule type="cellIs" dxfId="988" priority="121" operator="greaterThan">
      <formula>0.755</formula>
    </cfRule>
  </conditionalFormatting>
  <conditionalFormatting sqref="AL7">
    <cfRule type="cellIs" dxfId="987" priority="120" stopIfTrue="1" operator="between">
      <formula>0</formula>
      <formula>0.375</formula>
    </cfRule>
  </conditionalFormatting>
  <conditionalFormatting sqref="AM7">
    <cfRule type="cellIs" dxfId="986" priority="119" operator="between">
      <formula>0.3751</formula>
      <formula>0.5625</formula>
    </cfRule>
  </conditionalFormatting>
  <conditionalFormatting sqref="AN7">
    <cfRule type="cellIs" dxfId="985" priority="118" operator="between">
      <formula>0.563</formula>
      <formula>0.7125</formula>
    </cfRule>
  </conditionalFormatting>
  <conditionalFormatting sqref="AO7">
    <cfRule type="cellIs" dxfId="984" priority="117" operator="between">
      <formula>0.713</formula>
      <formula>0.75</formula>
    </cfRule>
  </conditionalFormatting>
  <conditionalFormatting sqref="AP7">
    <cfRule type="cellIs" dxfId="983" priority="116" operator="greaterThan">
      <formula>0.755</formula>
    </cfRule>
  </conditionalFormatting>
  <conditionalFormatting sqref="AL8">
    <cfRule type="cellIs" dxfId="982" priority="115" stopIfTrue="1" operator="between">
      <formula>0</formula>
      <formula>0.375</formula>
    </cfRule>
  </conditionalFormatting>
  <conditionalFormatting sqref="AM8">
    <cfRule type="cellIs" dxfId="981" priority="114" operator="between">
      <formula>0.3751</formula>
      <formula>0.5625</formula>
    </cfRule>
  </conditionalFormatting>
  <conditionalFormatting sqref="AN8">
    <cfRule type="cellIs" dxfId="980" priority="113" operator="between">
      <formula>0.563</formula>
      <formula>0.7125</formula>
    </cfRule>
  </conditionalFormatting>
  <conditionalFormatting sqref="AO8">
    <cfRule type="cellIs" dxfId="979" priority="112" operator="between">
      <formula>0.713</formula>
      <formula>0.75</formula>
    </cfRule>
  </conditionalFormatting>
  <conditionalFormatting sqref="AP8">
    <cfRule type="cellIs" dxfId="978" priority="111" operator="greaterThan">
      <formula>0.755</formula>
    </cfRule>
  </conditionalFormatting>
  <conditionalFormatting sqref="AL9">
    <cfRule type="cellIs" dxfId="977" priority="110" stopIfTrue="1" operator="between">
      <formula>0</formula>
      <formula>0.375</formula>
    </cfRule>
  </conditionalFormatting>
  <conditionalFormatting sqref="AM9">
    <cfRule type="cellIs" dxfId="976" priority="109" operator="between">
      <formula>0.3751</formula>
      <formula>0.5625</formula>
    </cfRule>
  </conditionalFormatting>
  <conditionalFormatting sqref="AN9">
    <cfRule type="cellIs" dxfId="975" priority="108" operator="between">
      <formula>0.563</formula>
      <formula>0.7125</formula>
    </cfRule>
  </conditionalFormatting>
  <conditionalFormatting sqref="AO9">
    <cfRule type="cellIs" dxfId="974" priority="107" operator="between">
      <formula>0.713</formula>
      <formula>0.75</formula>
    </cfRule>
  </conditionalFormatting>
  <conditionalFormatting sqref="AP9">
    <cfRule type="cellIs" dxfId="973" priority="106" operator="greaterThan">
      <formula>0.755</formula>
    </cfRule>
  </conditionalFormatting>
  <conditionalFormatting sqref="AL11">
    <cfRule type="cellIs" dxfId="972" priority="105" stopIfTrue="1" operator="between">
      <formula>0</formula>
      <formula>0.375</formula>
    </cfRule>
  </conditionalFormatting>
  <conditionalFormatting sqref="AM11">
    <cfRule type="cellIs" dxfId="971" priority="104" operator="between">
      <formula>0.3751</formula>
      <formula>0.5625</formula>
    </cfRule>
  </conditionalFormatting>
  <conditionalFormatting sqref="AN11">
    <cfRule type="cellIs" dxfId="970" priority="103" operator="between">
      <formula>0.563</formula>
      <formula>0.7125</formula>
    </cfRule>
  </conditionalFormatting>
  <conditionalFormatting sqref="AO11">
    <cfRule type="cellIs" dxfId="969" priority="102" operator="between">
      <formula>0.713</formula>
      <formula>0.75</formula>
    </cfRule>
  </conditionalFormatting>
  <conditionalFormatting sqref="AP11">
    <cfRule type="cellIs" dxfId="968" priority="101" operator="greaterThan">
      <formula>0.755</formula>
    </cfRule>
  </conditionalFormatting>
  <conditionalFormatting sqref="BA6">
    <cfRule type="cellIs" dxfId="967" priority="100" operator="between">
      <formula>0.51</formula>
      <formula>0.75</formula>
    </cfRule>
  </conditionalFormatting>
  <conditionalFormatting sqref="BB6">
    <cfRule type="cellIs" dxfId="966" priority="99" operator="between">
      <formula>0.76</formula>
      <formula>0.95</formula>
    </cfRule>
  </conditionalFormatting>
  <conditionalFormatting sqref="BC6">
    <cfRule type="cellIs" dxfId="965" priority="98" operator="between">
      <formula>0.95</formula>
      <formula>1</formula>
    </cfRule>
  </conditionalFormatting>
  <conditionalFormatting sqref="BD6">
    <cfRule type="cellIs" dxfId="964" priority="97" operator="greaterThan">
      <formula>1</formula>
    </cfRule>
  </conditionalFormatting>
  <conditionalFormatting sqref="AZ7">
    <cfRule type="cellIs" dxfId="963" priority="96" stopIfTrue="1" operator="between">
      <formula>0</formula>
      <formula>0.5</formula>
    </cfRule>
  </conditionalFormatting>
  <conditionalFormatting sqref="BA7">
    <cfRule type="cellIs" dxfId="962" priority="95" operator="between">
      <formula>0.51</formula>
      <formula>0.75</formula>
    </cfRule>
  </conditionalFormatting>
  <conditionalFormatting sqref="BB7">
    <cfRule type="cellIs" dxfId="961" priority="94" operator="between">
      <formula>0.76</formula>
      <formula>0.95</formula>
    </cfRule>
  </conditionalFormatting>
  <conditionalFormatting sqref="BC7">
    <cfRule type="cellIs" dxfId="960" priority="93" operator="between">
      <formula>0.95</formula>
      <formula>1</formula>
    </cfRule>
  </conditionalFormatting>
  <conditionalFormatting sqref="BD7">
    <cfRule type="cellIs" dxfId="959" priority="92" operator="greaterThan">
      <formula>1</formula>
    </cfRule>
  </conditionalFormatting>
  <conditionalFormatting sqref="AZ8">
    <cfRule type="cellIs" dxfId="958" priority="91" stopIfTrue="1" operator="between">
      <formula>0</formula>
      <formula>0.5</formula>
    </cfRule>
  </conditionalFormatting>
  <conditionalFormatting sqref="BA8">
    <cfRule type="cellIs" dxfId="957" priority="90" operator="between">
      <formula>0.51</formula>
      <formula>0.75</formula>
    </cfRule>
  </conditionalFormatting>
  <conditionalFormatting sqref="BB8">
    <cfRule type="cellIs" dxfId="956" priority="89" operator="between">
      <formula>0.76</formula>
      <formula>0.95</formula>
    </cfRule>
  </conditionalFormatting>
  <conditionalFormatting sqref="BC8">
    <cfRule type="cellIs" dxfId="955" priority="88" operator="between">
      <formula>0.95</formula>
      <formula>1</formula>
    </cfRule>
  </conditionalFormatting>
  <conditionalFormatting sqref="BD8">
    <cfRule type="cellIs" dxfId="954" priority="87" operator="greaterThan">
      <formula>1</formula>
    </cfRule>
  </conditionalFormatting>
  <conditionalFormatting sqref="AZ9">
    <cfRule type="cellIs" dxfId="953" priority="86" stopIfTrue="1" operator="between">
      <formula>0</formula>
      <formula>0.5</formula>
    </cfRule>
  </conditionalFormatting>
  <conditionalFormatting sqref="BA9">
    <cfRule type="cellIs" dxfId="952" priority="85" operator="between">
      <formula>0.51</formula>
      <formula>0.75</formula>
    </cfRule>
  </conditionalFormatting>
  <conditionalFormatting sqref="BB9">
    <cfRule type="cellIs" dxfId="951" priority="84" operator="between">
      <formula>0.76</formula>
      <formula>0.95</formula>
    </cfRule>
  </conditionalFormatting>
  <conditionalFormatting sqref="BC9">
    <cfRule type="cellIs" dxfId="950" priority="83" operator="between">
      <formula>0.95</formula>
      <formula>1</formula>
    </cfRule>
  </conditionalFormatting>
  <conditionalFormatting sqref="BD9">
    <cfRule type="cellIs" dxfId="949" priority="82" operator="greaterThan">
      <formula>1</formula>
    </cfRule>
  </conditionalFormatting>
  <conditionalFormatting sqref="AZ11">
    <cfRule type="cellIs" dxfId="948" priority="81" stopIfTrue="1" operator="between">
      <formula>0</formula>
      <formula>0.5</formula>
    </cfRule>
  </conditionalFormatting>
  <conditionalFormatting sqref="BA11">
    <cfRule type="cellIs" dxfId="947" priority="80" operator="between">
      <formula>0.51</formula>
      <formula>0.75</formula>
    </cfRule>
  </conditionalFormatting>
  <conditionalFormatting sqref="BB11">
    <cfRule type="cellIs" dxfId="946" priority="79" operator="between">
      <formula>0.76</formula>
      <formula>0.95</formula>
    </cfRule>
  </conditionalFormatting>
  <conditionalFormatting sqref="BC11">
    <cfRule type="cellIs" dxfId="945" priority="78" operator="between">
      <formula>0.95</formula>
      <formula>1</formula>
    </cfRule>
  </conditionalFormatting>
  <conditionalFormatting sqref="BD11">
    <cfRule type="cellIs" dxfId="944" priority="77" operator="greaterThan">
      <formula>1</formula>
    </cfRule>
  </conditionalFormatting>
  <conditionalFormatting sqref="D13">
    <cfRule type="cellIs" dxfId="943" priority="76" stopIfTrue="1" operator="between">
      <formula>0</formula>
      <formula>0.5</formula>
    </cfRule>
  </conditionalFormatting>
  <conditionalFormatting sqref="E13">
    <cfRule type="cellIs" dxfId="942" priority="75" operator="between">
      <formula>0.51</formula>
      <formula>0.75</formula>
    </cfRule>
  </conditionalFormatting>
  <conditionalFormatting sqref="F13">
    <cfRule type="cellIs" dxfId="941" priority="74" operator="between">
      <formula>0.76</formula>
      <formula>0.95</formula>
    </cfRule>
  </conditionalFormatting>
  <conditionalFormatting sqref="H13">
    <cfRule type="cellIs" dxfId="940" priority="72" operator="greaterThan">
      <formula>1</formula>
    </cfRule>
  </conditionalFormatting>
  <conditionalFormatting sqref="R13">
    <cfRule type="cellIs" dxfId="939" priority="71" stopIfTrue="1" operator="between">
      <formula>0</formula>
      <formula>0.5</formula>
    </cfRule>
  </conditionalFormatting>
  <conditionalFormatting sqref="S13">
    <cfRule type="cellIs" dxfId="938" priority="70" operator="between">
      <formula>0.51</formula>
      <formula>0.75</formula>
    </cfRule>
  </conditionalFormatting>
  <conditionalFormatting sqref="T13">
    <cfRule type="cellIs" dxfId="937" priority="69" operator="between">
      <formula>0.76</formula>
      <formula>0.95</formula>
    </cfRule>
  </conditionalFormatting>
  <conditionalFormatting sqref="U13">
    <cfRule type="cellIs" dxfId="936" priority="68" operator="between">
      <formula>0.95</formula>
      <formula>1</formula>
    </cfRule>
  </conditionalFormatting>
  <conditionalFormatting sqref="V13">
    <cfRule type="cellIs" dxfId="935" priority="67" operator="greaterThan">
      <formula>1</formula>
    </cfRule>
  </conditionalFormatting>
  <conditionalFormatting sqref="AF13">
    <cfRule type="cellIs" dxfId="934" priority="66" stopIfTrue="1" operator="between">
      <formula>0</formula>
      <formula>0.5</formula>
    </cfRule>
  </conditionalFormatting>
  <conditionalFormatting sqref="AG13">
    <cfRule type="cellIs" dxfId="933" priority="65" operator="between">
      <formula>0.51</formula>
      <formula>0.75</formula>
    </cfRule>
  </conditionalFormatting>
  <conditionalFormatting sqref="AH13">
    <cfRule type="cellIs" dxfId="932" priority="64" operator="between">
      <formula>0.76</formula>
      <formula>0.95</formula>
    </cfRule>
  </conditionalFormatting>
  <conditionalFormatting sqref="AI13">
    <cfRule type="cellIs" dxfId="931" priority="63" operator="between">
      <formula>0.95</formula>
      <formula>1</formula>
    </cfRule>
  </conditionalFormatting>
  <conditionalFormatting sqref="AJ13">
    <cfRule type="cellIs" dxfId="930" priority="62" operator="greaterThan">
      <formula>1</formula>
    </cfRule>
  </conditionalFormatting>
  <conditionalFormatting sqref="AT13">
    <cfRule type="cellIs" dxfId="929" priority="61" stopIfTrue="1" operator="between">
      <formula>0</formula>
      <formula>0.5</formula>
    </cfRule>
  </conditionalFormatting>
  <conditionalFormatting sqref="AU13">
    <cfRule type="cellIs" dxfId="928" priority="60" operator="between">
      <formula>0.51</formula>
      <formula>0.75</formula>
    </cfRule>
  </conditionalFormatting>
  <conditionalFormatting sqref="AV13">
    <cfRule type="cellIs" dxfId="927" priority="59" operator="between">
      <formula>0.76</formula>
      <formula>0.95</formula>
    </cfRule>
  </conditionalFormatting>
  <conditionalFormatting sqref="AW13">
    <cfRule type="cellIs" dxfId="926" priority="58" operator="between">
      <formula>0.95</formula>
      <formula>1</formula>
    </cfRule>
  </conditionalFormatting>
  <conditionalFormatting sqref="AX13">
    <cfRule type="cellIs" dxfId="925" priority="57" operator="greaterThan">
      <formula>1</formula>
    </cfRule>
  </conditionalFormatting>
  <conditionalFormatting sqref="O13">
    <cfRule type="cellIs" dxfId="924" priority="52" operator="greaterThan">
      <formula>0.2601</formula>
    </cfRule>
  </conditionalFormatting>
  <conditionalFormatting sqref="AQ13">
    <cfRule type="cellIs" dxfId="923" priority="51" operator="greaterThan">
      <formula>0.755</formula>
    </cfRule>
  </conditionalFormatting>
  <conditionalFormatting sqref="AZ13">
    <cfRule type="cellIs" dxfId="922" priority="50" stopIfTrue="1" operator="between">
      <formula>0</formula>
      <formula>0.5</formula>
    </cfRule>
  </conditionalFormatting>
  <conditionalFormatting sqref="BA13">
    <cfRule type="cellIs" dxfId="921" priority="49" operator="between">
      <formula>0.51</formula>
      <formula>0.75</formula>
    </cfRule>
  </conditionalFormatting>
  <conditionalFormatting sqref="BB13">
    <cfRule type="cellIs" dxfId="920" priority="48" operator="between">
      <formula>0.76</formula>
      <formula>0.95</formula>
    </cfRule>
  </conditionalFormatting>
  <conditionalFormatting sqref="BC13">
    <cfRule type="cellIs" dxfId="919" priority="47" operator="between">
      <formula>0.95</formula>
      <formula>1</formula>
    </cfRule>
  </conditionalFormatting>
  <conditionalFormatting sqref="BD13">
    <cfRule type="cellIs" dxfId="918" priority="46" operator="greaterThan">
      <formula>1</formula>
    </cfRule>
  </conditionalFormatting>
  <conditionalFormatting sqref="X13">
    <cfRule type="cellIs" dxfId="917" priority="45" stopIfTrue="1" operator="between">
      <formula>0</formula>
      <formula>0.255</formula>
    </cfRule>
  </conditionalFormatting>
  <conditionalFormatting sqref="Y13">
    <cfRule type="cellIs" dxfId="916" priority="44" operator="between">
      <formula>0.2551</formula>
      <formula>0.375</formula>
    </cfRule>
  </conditionalFormatting>
  <conditionalFormatting sqref="Z13">
    <cfRule type="cellIs" dxfId="915" priority="43" operator="between">
      <formula>0.3751</formula>
      <formula>0.475</formula>
    </cfRule>
  </conditionalFormatting>
  <conditionalFormatting sqref="AA13">
    <cfRule type="cellIs" dxfId="914" priority="42" operator="between">
      <formula>0.48</formula>
      <formula>0.51</formula>
    </cfRule>
  </conditionalFormatting>
  <conditionalFormatting sqref="AB13:AC13">
    <cfRule type="cellIs" dxfId="913" priority="41" operator="greaterThan">
      <formula>0.505</formula>
    </cfRule>
  </conditionalFormatting>
  <conditionalFormatting sqref="AQ6">
    <cfRule type="cellIs" dxfId="912" priority="40" operator="greaterThan">
      <formula>0.505</formula>
    </cfRule>
  </conditionalFormatting>
  <conditionalFormatting sqref="AQ7">
    <cfRule type="cellIs" dxfId="911" priority="39" operator="greaterThan">
      <formula>0.505</formula>
    </cfRule>
  </conditionalFormatting>
  <conditionalFormatting sqref="AQ8">
    <cfRule type="cellIs" dxfId="910" priority="38" operator="greaterThan">
      <formula>0.505</formula>
    </cfRule>
  </conditionalFormatting>
  <conditionalFormatting sqref="AQ9">
    <cfRule type="cellIs" dxfId="909" priority="37" operator="greaterThan">
      <formula>0.505</formula>
    </cfRule>
  </conditionalFormatting>
  <conditionalFormatting sqref="AQ11">
    <cfRule type="cellIs" dxfId="908" priority="36" operator="greaterThan">
      <formula>0.505</formula>
    </cfRule>
  </conditionalFormatting>
  <conditionalFormatting sqref="BE6">
    <cfRule type="cellIs" dxfId="907" priority="35" operator="greaterThan">
      <formula>0.505</formula>
    </cfRule>
  </conditionalFormatting>
  <conditionalFormatting sqref="BE7">
    <cfRule type="cellIs" dxfId="906" priority="34" operator="greaterThan">
      <formula>0.505</formula>
    </cfRule>
  </conditionalFormatting>
  <conditionalFormatting sqref="BE8">
    <cfRule type="cellIs" dxfId="905" priority="33" operator="greaterThan">
      <formula>0.505</formula>
    </cfRule>
  </conditionalFormatting>
  <conditionalFormatting sqref="BE9">
    <cfRule type="cellIs" dxfId="904" priority="32" operator="greaterThan">
      <formula>0.505</formula>
    </cfRule>
  </conditionalFormatting>
  <conditionalFormatting sqref="BE11">
    <cfRule type="cellIs" dxfId="903" priority="31" operator="greaterThan">
      <formula>0.505</formula>
    </cfRule>
  </conditionalFormatting>
  <conditionalFormatting sqref="O6">
    <cfRule type="cellIs" dxfId="902" priority="30" operator="greaterThan">
      <formula>0.505</formula>
    </cfRule>
  </conditionalFormatting>
  <conditionalFormatting sqref="O7">
    <cfRule type="cellIs" dxfId="901" priority="29" operator="greaterThan">
      <formula>0.505</formula>
    </cfRule>
  </conditionalFormatting>
  <conditionalFormatting sqref="O8">
    <cfRule type="cellIs" dxfId="900" priority="28" operator="greaterThan">
      <formula>0.505</formula>
    </cfRule>
  </conditionalFormatting>
  <conditionalFormatting sqref="O9">
    <cfRule type="cellIs" dxfId="899" priority="27" operator="greaterThan">
      <formula>0.505</formula>
    </cfRule>
  </conditionalFormatting>
  <conditionalFormatting sqref="O11">
    <cfRule type="cellIs" dxfId="898" priority="26" operator="greaterThan">
      <formula>0.505</formula>
    </cfRule>
  </conditionalFormatting>
  <conditionalFormatting sqref="AL13">
    <cfRule type="cellIs" dxfId="897" priority="25" stopIfTrue="1" operator="between">
      <formula>0</formula>
      <formula>0.375</formula>
    </cfRule>
  </conditionalFormatting>
  <conditionalFormatting sqref="AM13">
    <cfRule type="cellIs" dxfId="896" priority="24" operator="between">
      <formula>0.3751</formula>
      <formula>0.5625</formula>
    </cfRule>
  </conditionalFormatting>
  <conditionalFormatting sqref="AN13">
    <cfRule type="cellIs" dxfId="895" priority="23" operator="between">
      <formula>0.563</formula>
      <formula>0.7125</formula>
    </cfRule>
  </conditionalFormatting>
  <conditionalFormatting sqref="AO13">
    <cfRule type="cellIs" dxfId="894" priority="22" operator="between">
      <formula>0.713</formula>
      <formula>0.75</formula>
    </cfRule>
  </conditionalFormatting>
  <conditionalFormatting sqref="AP13">
    <cfRule type="cellIs" dxfId="893" priority="21" operator="greaterThan">
      <formula>0.755</formula>
    </cfRule>
  </conditionalFormatting>
  <conditionalFormatting sqref="J7:J9">
    <cfRule type="cellIs" dxfId="892" priority="20" stopIfTrue="1" operator="between">
      <formula>0</formula>
      <formula>0.125</formula>
    </cfRule>
  </conditionalFormatting>
  <conditionalFormatting sqref="K7:K9">
    <cfRule type="cellIs" dxfId="891" priority="19" operator="between">
      <formula>0.1251</formula>
      <formula>0.1875</formula>
    </cfRule>
  </conditionalFormatting>
  <conditionalFormatting sqref="L7:L9">
    <cfRule type="cellIs" dxfId="890" priority="18" operator="between">
      <formula>0.1876</formula>
      <formula>0.2375</formula>
    </cfRule>
  </conditionalFormatting>
  <conditionalFormatting sqref="M7:M9">
    <cfRule type="cellIs" dxfId="889" priority="17" operator="between">
      <formula>0.2376</formula>
      <formula>0.25</formula>
    </cfRule>
  </conditionalFormatting>
  <conditionalFormatting sqref="N7:N9">
    <cfRule type="cellIs" dxfId="888" priority="16" operator="greaterThan">
      <formula>0.25</formula>
    </cfRule>
  </conditionalFormatting>
  <conditionalFormatting sqref="J11">
    <cfRule type="cellIs" dxfId="887" priority="15" stopIfTrue="1" operator="between">
      <formula>0</formula>
      <formula>0.125</formula>
    </cfRule>
  </conditionalFormatting>
  <conditionalFormatting sqref="K11">
    <cfRule type="cellIs" dxfId="886" priority="14" operator="between">
      <formula>0.1251</formula>
      <formula>0.1875</formula>
    </cfRule>
  </conditionalFormatting>
  <conditionalFormatting sqref="L11">
    <cfRule type="cellIs" dxfId="885" priority="13" operator="between">
      <formula>0.1876</formula>
      <formula>0.2375</formula>
    </cfRule>
  </conditionalFormatting>
  <conditionalFormatting sqref="M11">
    <cfRule type="cellIs" dxfId="884" priority="12" operator="between">
      <formula>0.2376</formula>
      <formula>0.25</formula>
    </cfRule>
  </conditionalFormatting>
  <conditionalFormatting sqref="N11">
    <cfRule type="cellIs" dxfId="883" priority="11" operator="greaterThan">
      <formula>0.25</formula>
    </cfRule>
  </conditionalFormatting>
  <conditionalFormatting sqref="J13">
    <cfRule type="cellIs" dxfId="882" priority="10" stopIfTrue="1" operator="between">
      <formula>0</formula>
      <formula>0.125</formula>
    </cfRule>
  </conditionalFormatting>
  <conditionalFormatting sqref="K13">
    <cfRule type="cellIs" dxfId="881" priority="9" operator="between">
      <formula>0.1251</formula>
      <formula>0.1875</formula>
    </cfRule>
  </conditionalFormatting>
  <conditionalFormatting sqref="L13">
    <cfRule type="cellIs" dxfId="880" priority="8" operator="between">
      <formula>0.1876</formula>
      <formula>0.2375</formula>
    </cfRule>
  </conditionalFormatting>
  <conditionalFormatting sqref="M13">
    <cfRule type="cellIs" dxfId="879" priority="7" operator="between">
      <formula>0.2376</formula>
      <formula>0.25</formula>
    </cfRule>
  </conditionalFormatting>
  <conditionalFormatting sqref="N13">
    <cfRule type="cellIs" dxfId="878" priority="6" operator="greaterThan">
      <formula>0.25</formula>
    </cfRule>
  </conditionalFormatting>
  <conditionalFormatting sqref="G7">
    <cfRule type="cellIs" dxfId="877" priority="5" operator="between">
      <formula>0.96</formula>
      <formula>1</formula>
    </cfRule>
  </conditionalFormatting>
  <conditionalFormatting sqref="G8">
    <cfRule type="cellIs" dxfId="876" priority="4" operator="between">
      <formula>0.96</formula>
      <formula>1</formula>
    </cfRule>
  </conditionalFormatting>
  <conditionalFormatting sqref="G9">
    <cfRule type="cellIs" dxfId="875" priority="3" operator="between">
      <formula>0.96</formula>
      <formula>1</formula>
    </cfRule>
  </conditionalFormatting>
  <conditionalFormatting sqref="G11">
    <cfRule type="cellIs" dxfId="874" priority="2" operator="between">
      <formula>0.96</formula>
      <formula>1</formula>
    </cfRule>
  </conditionalFormatting>
  <conditionalFormatting sqref="G13">
    <cfRule type="cellIs" dxfId="873"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zoomScale="80" zoomScaleNormal="80" workbookViewId="0">
      <selection activeCell="AZ14" sqref="AZ14"/>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7.140625" customWidth="1"/>
    <col min="30" max="34" width="3.28515625" customWidth="1"/>
    <col min="35" max="35" width="11.7109375" customWidth="1"/>
    <col min="36" max="40" width="3.28515625" customWidth="1"/>
    <col min="41" max="41" width="2.85546875" customWidth="1"/>
    <col min="42" max="42" width="11.7109375" customWidth="1"/>
    <col min="43" max="47" width="3.28515625" customWidth="1"/>
    <col min="48" max="48" width="12.5703125" customWidth="1"/>
    <col min="49" max="53" width="3.28515625" customWidth="1"/>
  </cols>
  <sheetData>
    <row r="1" spans="1:53" ht="25.5" customHeight="1" x14ac:dyDescent="0.25">
      <c r="A1" s="1633"/>
      <c r="B1" s="1607" t="s">
        <v>246</v>
      </c>
      <c r="C1" s="1608"/>
      <c r="D1" s="1608"/>
      <c r="E1" s="1608"/>
      <c r="F1" s="1608"/>
      <c r="G1" s="1608"/>
      <c r="H1" s="1558"/>
      <c r="I1" s="1560" t="s">
        <v>247</v>
      </c>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c r="AO1" s="1608"/>
      <c r="AP1" s="1609"/>
      <c r="AQ1" s="1610"/>
      <c r="AR1" s="1610"/>
      <c r="AS1" s="1610"/>
      <c r="AT1" s="1610"/>
      <c r="AU1" s="1610"/>
      <c r="AV1" s="1610"/>
      <c r="AW1" s="1610"/>
      <c r="AX1" s="1610"/>
      <c r="AY1" s="1610"/>
      <c r="AZ1" s="1610"/>
      <c r="BA1" s="1611"/>
    </row>
    <row r="2" spans="1:53" ht="15" customHeight="1" x14ac:dyDescent="0.25">
      <c r="A2" s="1634"/>
      <c r="B2" s="1618" t="s">
        <v>248</v>
      </c>
      <c r="C2" s="1619"/>
      <c r="D2" s="1619"/>
      <c r="E2" s="1619"/>
      <c r="F2" s="1619"/>
      <c r="G2" s="1619"/>
      <c r="H2" s="1563"/>
      <c r="I2" s="1565" t="s">
        <v>209</v>
      </c>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2"/>
      <c r="AQ2" s="1613"/>
      <c r="AR2" s="1613"/>
      <c r="AS2" s="1613"/>
      <c r="AT2" s="1613"/>
      <c r="AU2" s="1613"/>
      <c r="AV2" s="1613"/>
      <c r="AW2" s="1613"/>
      <c r="AX2" s="1613"/>
      <c r="AY2" s="1613"/>
      <c r="AZ2" s="1613"/>
      <c r="BA2" s="1614"/>
    </row>
    <row r="3" spans="1:53" ht="15.75" customHeight="1" thickBot="1" x14ac:dyDescent="0.3">
      <c r="A3" s="1635"/>
      <c r="B3" s="1620" t="s">
        <v>242</v>
      </c>
      <c r="C3" s="1573"/>
      <c r="D3" s="1573"/>
      <c r="E3" s="1573"/>
      <c r="F3" s="1573"/>
      <c r="G3" s="1573"/>
      <c r="H3" s="1568"/>
      <c r="I3" s="1570" t="s">
        <v>251</v>
      </c>
      <c r="J3" s="1573"/>
      <c r="K3" s="1573"/>
      <c r="L3" s="1573"/>
      <c r="M3" s="1573"/>
      <c r="N3" s="1568"/>
      <c r="O3" s="1621" t="s">
        <v>253</v>
      </c>
      <c r="P3" s="1622"/>
      <c r="Q3" s="1622"/>
      <c r="R3" s="1622"/>
      <c r="S3" s="1622"/>
      <c r="T3" s="1622"/>
      <c r="U3" s="1622"/>
      <c r="V3" s="1622"/>
      <c r="W3" s="1622"/>
      <c r="X3" s="1622"/>
      <c r="Y3" s="1622"/>
      <c r="Z3" s="1622"/>
      <c r="AA3" s="1622"/>
      <c r="AB3" s="1622"/>
      <c r="AC3" s="1622"/>
      <c r="AD3" s="1622"/>
      <c r="AE3" s="1622"/>
      <c r="AF3" s="1622"/>
      <c r="AG3" s="1622"/>
      <c r="AH3" s="1623"/>
      <c r="AI3" s="320" t="s">
        <v>249</v>
      </c>
      <c r="AJ3" s="1570">
        <v>1</v>
      </c>
      <c r="AK3" s="1573"/>
      <c r="AL3" s="1573"/>
      <c r="AM3" s="1573"/>
      <c r="AN3" s="1573"/>
      <c r="AO3" s="1573"/>
      <c r="AP3" s="1615"/>
      <c r="AQ3" s="1616"/>
      <c r="AR3" s="1616"/>
      <c r="AS3" s="1616"/>
      <c r="AT3" s="1616"/>
      <c r="AU3" s="1616"/>
      <c r="AV3" s="1616"/>
      <c r="AW3" s="1616"/>
      <c r="AX3" s="1616"/>
      <c r="AY3" s="1616"/>
      <c r="AZ3" s="1616"/>
      <c r="BA3" s="1617"/>
    </row>
    <row r="4" spans="1:53" ht="15.75" thickBot="1" x14ac:dyDescent="0.3"/>
    <row r="5" spans="1:53" ht="72.75" customHeight="1" thickBot="1" x14ac:dyDescent="0.3">
      <c r="A5" s="351" t="s">
        <v>205</v>
      </c>
      <c r="B5" s="354"/>
      <c r="C5" s="1629" t="s">
        <v>1188</v>
      </c>
      <c r="D5" s="1636"/>
      <c r="E5" s="1636"/>
      <c r="F5" s="1636"/>
      <c r="G5" s="1636"/>
      <c r="H5" s="1637"/>
      <c r="I5" s="1632" t="s">
        <v>1189</v>
      </c>
      <c r="J5" s="1628"/>
      <c r="K5" s="1628"/>
      <c r="L5" s="1628"/>
      <c r="M5" s="1628"/>
      <c r="N5" s="1628"/>
      <c r="P5" s="1629" t="s">
        <v>1191</v>
      </c>
      <c r="Q5" s="1636"/>
      <c r="R5" s="1636"/>
      <c r="S5" s="1636"/>
      <c r="T5" s="1636"/>
      <c r="U5" s="1637"/>
      <c r="V5" s="1632" t="s">
        <v>1192</v>
      </c>
      <c r="W5" s="1628"/>
      <c r="X5" s="1628"/>
      <c r="Y5" s="1628"/>
      <c r="Z5" s="1628"/>
      <c r="AA5" s="1628"/>
      <c r="AB5" s="367"/>
      <c r="AC5" s="1629" t="s">
        <v>1193</v>
      </c>
      <c r="AD5" s="1636"/>
      <c r="AE5" s="1636"/>
      <c r="AF5" s="1636"/>
      <c r="AG5" s="1636"/>
      <c r="AH5" s="1637"/>
      <c r="AI5" s="1632" t="s">
        <v>1194</v>
      </c>
      <c r="AJ5" s="1628"/>
      <c r="AK5" s="1628"/>
      <c r="AL5" s="1628"/>
      <c r="AM5" s="1628"/>
      <c r="AN5" s="1628"/>
      <c r="AO5" s="367"/>
      <c r="AP5" s="1629" t="s">
        <v>1195</v>
      </c>
      <c r="AQ5" s="1636"/>
      <c r="AR5" s="1636"/>
      <c r="AS5" s="1636"/>
      <c r="AT5" s="1636"/>
      <c r="AU5" s="1637"/>
      <c r="AV5" s="1632" t="s">
        <v>1196</v>
      </c>
      <c r="AW5" s="1628"/>
      <c r="AX5" s="1628"/>
      <c r="AY5" s="1628"/>
      <c r="AZ5" s="1628"/>
      <c r="BA5" s="1628"/>
    </row>
    <row r="6" spans="1:53" ht="54" x14ac:dyDescent="0.25">
      <c r="A6" s="415" t="s">
        <v>1212</v>
      </c>
      <c r="B6" s="352"/>
      <c r="C6" s="416">
        <f>AVERAGE('Cuadro Mando Integral Detallado'!L134,'Cuadro Mando Integral Detallado'!L136:L143,'Cuadro Mando Integral Detallado'!L209:L210)</f>
        <v>0.75000171403310667</v>
      </c>
      <c r="D6" s="368">
        <f t="shared" ref="D6:D15" si="0">+C6</f>
        <v>0.75000171403310667</v>
      </c>
      <c r="E6" s="358">
        <f t="shared" ref="E6:E15" si="1">+C6</f>
        <v>0.75000171403310667</v>
      </c>
      <c r="F6" s="358">
        <f t="shared" ref="F6:F15" si="2">+C6</f>
        <v>0.75000171403310667</v>
      </c>
      <c r="G6" s="358">
        <f t="shared" ref="G6:G15" si="3">+C6</f>
        <v>0.75000171403310667</v>
      </c>
      <c r="H6" s="359">
        <f t="shared" ref="H6:H15" si="4">+C6</f>
        <v>0.75000171403310667</v>
      </c>
      <c r="I6" s="506">
        <f>AVERAGE('Cuadro Mando Integral Detallado'!O134,'Cuadro Mando Integral Detallado'!O136:O143,'Cuadro Mando Integral Detallado'!O209:O210)</f>
        <v>0.18750042850827667</v>
      </c>
      <c r="J6" s="361">
        <f t="shared" ref="J6:J15" si="5">+I6</f>
        <v>0.18750042850827667</v>
      </c>
      <c r="K6" s="362">
        <f t="shared" ref="K6:K15" si="6">+I6</f>
        <v>0.18750042850827667</v>
      </c>
      <c r="L6" s="362">
        <f t="shared" ref="L6:L15" si="7">+I6</f>
        <v>0.18750042850827667</v>
      </c>
      <c r="M6" s="362">
        <f t="shared" ref="M6:M15" si="8">+I6</f>
        <v>0.18750042850827667</v>
      </c>
      <c r="N6" s="363">
        <f t="shared" ref="N6:N15" si="9">+I6</f>
        <v>0.18750042850827667</v>
      </c>
      <c r="O6" s="17"/>
      <c r="P6" s="416">
        <f>AVERAGE('Cuadro Mando Integral Detallado'!S134:S143,'Cuadro Mando Integral Detallado'!S209:S210)</f>
        <v>1</v>
      </c>
      <c r="Q6" s="368">
        <f t="shared" ref="Q6:Q15" si="10">+P6</f>
        <v>1</v>
      </c>
      <c r="R6" s="358">
        <f t="shared" ref="R6:R15" si="11">+P6</f>
        <v>1</v>
      </c>
      <c r="S6" s="358">
        <f t="shared" ref="S6:S15" si="12">+P6</f>
        <v>1</v>
      </c>
      <c r="T6" s="358">
        <f t="shared" ref="T6:T15" si="13">+P6</f>
        <v>1</v>
      </c>
      <c r="U6" s="359">
        <f t="shared" ref="U6:U15" si="14">+P6</f>
        <v>1</v>
      </c>
      <c r="V6" s="416">
        <f>AVERAGE('Cuadro Mando Integral Detallado'!V134:V143,'Cuadro Mando Integral Detallado'!V209:V210)</f>
        <v>0.40909122073329213</v>
      </c>
      <c r="W6" s="361">
        <f t="shared" ref="W6:W15" si="15">+V6</f>
        <v>0.40909122073329213</v>
      </c>
      <c r="X6" s="362">
        <f t="shared" ref="X6:X15" si="16">+V6</f>
        <v>0.40909122073329213</v>
      </c>
      <c r="Y6" s="362">
        <f t="shared" ref="Y6:Y15" si="17">+V6</f>
        <v>0.40909122073329213</v>
      </c>
      <c r="Z6" s="362">
        <f>+V6</f>
        <v>0.40909122073329213</v>
      </c>
      <c r="AA6" s="363">
        <f t="shared" ref="AA6:AA15" si="18">+V6</f>
        <v>0.40909122073329213</v>
      </c>
      <c r="AB6" s="409"/>
      <c r="AC6" s="416">
        <f>AVERAGE('Cuadro Mando Integral Detallado'!Z134:Z143,'Cuadro Mando Integral Detallado'!Z209:Z210,'Cuadro Mando Integral Detallado'!Z154:Z157)</f>
        <v>0.99189189189189197</v>
      </c>
      <c r="AD6" s="368">
        <f t="shared" ref="AD6:AD15" si="19">+AC6</f>
        <v>0.99189189189189197</v>
      </c>
      <c r="AE6" s="358">
        <f t="shared" ref="AE6:AE15" si="20">+AC6</f>
        <v>0.99189189189189197</v>
      </c>
      <c r="AF6" s="358">
        <f t="shared" ref="AF6:AF15" si="21">+AC6</f>
        <v>0.99189189189189197</v>
      </c>
      <c r="AG6" s="358">
        <f t="shared" ref="AG6:AG14" si="22">+AC6</f>
        <v>0.99189189189189197</v>
      </c>
      <c r="AH6" s="359">
        <f t="shared" ref="AH6:AH15" si="23">+AC6</f>
        <v>0.99189189189189197</v>
      </c>
      <c r="AI6" s="416">
        <f>AVERAGE('Cuadro Mando Integral Detallado'!AC134:AC143,'Cuadro Mando Integral Detallado'!AC209:AC210,'Cuadro Mando Integral Detallado'!AC154:AC157)</f>
        <v>0.65663421827628976</v>
      </c>
      <c r="AJ6" s="368">
        <f t="shared" ref="AJ6:AJ15" si="24">+AI6</f>
        <v>0.65663421827628976</v>
      </c>
      <c r="AK6" s="362">
        <f t="shared" ref="AK6:AK15" si="25">+AI6</f>
        <v>0.65663421827628976</v>
      </c>
      <c r="AL6" s="362">
        <f t="shared" ref="AL6:AL15" si="26">+AI6</f>
        <v>0.65663421827628976</v>
      </c>
      <c r="AM6" s="362">
        <f t="shared" ref="AM6:AM15" si="27">+AI6</f>
        <v>0.65663421827628976</v>
      </c>
      <c r="AN6" s="363">
        <f t="shared" ref="AN6:AN15" si="28">+AI6</f>
        <v>0.65663421827628976</v>
      </c>
      <c r="AO6" s="409"/>
      <c r="AP6" s="416">
        <f>AVERAGE('Cuadro Mando Integral Detallado'!AG134:AG143,'Cuadro Mando Integral Detallado'!AG209:AG210,'Cuadro Mando Integral Detallado'!AG154:AG157)</f>
        <v>1</v>
      </c>
      <c r="AQ6" s="368">
        <f t="shared" ref="AQ6:AQ15" si="29">+AP6</f>
        <v>1</v>
      </c>
      <c r="AR6" s="358">
        <f t="shared" ref="AR6:AR15" si="30">+AP6</f>
        <v>1</v>
      </c>
      <c r="AS6" s="358">
        <f t="shared" ref="AS6:AS15" si="31">+AP6</f>
        <v>1</v>
      </c>
      <c r="AT6" s="358">
        <f t="shared" ref="AT6:AT15" si="32">+AP6</f>
        <v>1</v>
      </c>
      <c r="AU6" s="359">
        <f t="shared" ref="AU6:AU15" si="33">+AP6</f>
        <v>1</v>
      </c>
      <c r="AV6" s="416">
        <f>AVERAGE('Cuadro Mando Integral Detallado'!AI134:AI143,'Cuadro Mando Integral Detallado'!AI209:AI210,'Cuadro Mando Integral Detallado'!AI154:AI157)</f>
        <v>0.89264287118039021</v>
      </c>
      <c r="AW6" s="368">
        <f t="shared" ref="AW6:AW15" si="34">+AV6</f>
        <v>0.89264287118039021</v>
      </c>
      <c r="AX6" s="362">
        <f t="shared" ref="AX6:AX15" si="35">+AV6</f>
        <v>0.89264287118039021</v>
      </c>
      <c r="AY6" s="362">
        <f t="shared" ref="AY6:AY15" si="36">+AV6</f>
        <v>0.89264287118039021</v>
      </c>
      <c r="AZ6" s="362">
        <f t="shared" ref="AZ6:AZ15" si="37">+AV6</f>
        <v>0.89264287118039021</v>
      </c>
      <c r="BA6" s="363">
        <f t="shared" ref="BA6:BA15" si="38">+AV6</f>
        <v>0.89264287118039021</v>
      </c>
    </row>
    <row r="7" spans="1:53" ht="54" x14ac:dyDescent="0.25">
      <c r="A7" s="370" t="s">
        <v>1211</v>
      </c>
      <c r="B7" s="352"/>
      <c r="C7" s="417">
        <f>AVERAGE('Cuadro Mando Integral Detallado'!L148:L153,'Cuadro Mando Integral Detallado'!L213:L214)</f>
        <v>0.99784595152257205</v>
      </c>
      <c r="D7" s="502">
        <f t="shared" si="0"/>
        <v>0.99784595152257205</v>
      </c>
      <c r="E7" s="500">
        <f t="shared" si="1"/>
        <v>0.99784595152257205</v>
      </c>
      <c r="F7" s="500">
        <f t="shared" si="2"/>
        <v>0.99784595152257205</v>
      </c>
      <c r="G7" s="373">
        <f t="shared" si="3"/>
        <v>0.99784595152257205</v>
      </c>
      <c r="H7" s="501">
        <f t="shared" si="4"/>
        <v>0.99784595152257205</v>
      </c>
      <c r="I7" s="423">
        <f>AVERAGE('Cuadro Mando Integral Detallado'!O148:O153,'Cuadro Mando Integral Detallado'!O212:O214)</f>
        <v>0.21827880189556265</v>
      </c>
      <c r="J7" s="496">
        <f t="shared" si="5"/>
        <v>0.21827880189556265</v>
      </c>
      <c r="K7" s="497">
        <f t="shared" si="6"/>
        <v>0.21827880189556265</v>
      </c>
      <c r="L7" s="497">
        <f t="shared" si="7"/>
        <v>0.21827880189556265</v>
      </c>
      <c r="M7" s="497">
        <f t="shared" si="8"/>
        <v>0.21827880189556265</v>
      </c>
      <c r="N7" s="498">
        <f t="shared" si="9"/>
        <v>0.21827880189556265</v>
      </c>
      <c r="O7" s="11"/>
      <c r="P7" s="417">
        <f>AVERAGE('Cuadro Mando Integral Detallado'!S148:S153,'Cuadro Mando Integral Detallado'!S212:S214)</f>
        <v>0.99896816037735847</v>
      </c>
      <c r="Q7" s="382">
        <f t="shared" si="10"/>
        <v>0.99896816037735847</v>
      </c>
      <c r="R7" s="373">
        <f t="shared" si="11"/>
        <v>0.99896816037735847</v>
      </c>
      <c r="S7" s="373">
        <f t="shared" si="12"/>
        <v>0.99896816037735847</v>
      </c>
      <c r="T7" s="373">
        <f t="shared" si="13"/>
        <v>0.99896816037735847</v>
      </c>
      <c r="U7" s="374">
        <f t="shared" si="14"/>
        <v>0.99896816037735847</v>
      </c>
      <c r="V7" s="417">
        <f>AVERAGE('Cuadro Mando Integral Detallado'!V148:V153,'Cuadro Mando Integral Detallado'!V212:V214)</f>
        <v>0.42527778547250578</v>
      </c>
      <c r="W7" s="376">
        <f t="shared" si="15"/>
        <v>0.42527778547250578</v>
      </c>
      <c r="X7" s="377">
        <f t="shared" si="16"/>
        <v>0.42527778547250578</v>
      </c>
      <c r="Y7" s="377">
        <f t="shared" si="17"/>
        <v>0.42527778547250578</v>
      </c>
      <c r="Z7" s="377">
        <f>+V7</f>
        <v>0.42527778547250578</v>
      </c>
      <c r="AA7" s="378">
        <f t="shared" si="18"/>
        <v>0.42527778547250578</v>
      </c>
      <c r="AB7" s="409"/>
      <c r="AC7" s="417">
        <f>AVERAGE('Cuadro Mando Integral Detallado'!Z148:Z153,'Cuadro Mando Integral Detallado'!Z212:Z214)</f>
        <v>0.99970657276995301</v>
      </c>
      <c r="AD7" s="382">
        <f t="shared" si="19"/>
        <v>0.99970657276995301</v>
      </c>
      <c r="AE7" s="373">
        <f t="shared" si="20"/>
        <v>0.99970657276995301</v>
      </c>
      <c r="AF7" s="373">
        <f t="shared" si="21"/>
        <v>0.99970657276995301</v>
      </c>
      <c r="AG7" s="373">
        <f t="shared" si="22"/>
        <v>0.99970657276995301</v>
      </c>
      <c r="AH7" s="374">
        <f t="shared" si="23"/>
        <v>0.99970657276995301</v>
      </c>
      <c r="AI7" s="417">
        <f>AVERAGE('Cuadro Mando Integral Detallado'!AC148:AC153,'Cuadro Mando Integral Detallado'!AC212:AC214)</f>
        <v>0.65669406090286575</v>
      </c>
      <c r="AJ7" s="382">
        <f t="shared" si="24"/>
        <v>0.65669406090286575</v>
      </c>
      <c r="AK7" s="377">
        <f t="shared" si="25"/>
        <v>0.65669406090286575</v>
      </c>
      <c r="AL7" s="377">
        <f t="shared" si="26"/>
        <v>0.65669406090286575</v>
      </c>
      <c r="AM7" s="377">
        <f t="shared" si="27"/>
        <v>0.65669406090286575</v>
      </c>
      <c r="AN7" s="378">
        <f t="shared" si="28"/>
        <v>0.65669406090286575</v>
      </c>
      <c r="AO7" s="409"/>
      <c r="AP7" s="417">
        <f>AVERAGE('Cuadro Mando Integral Detallado'!AG148:AG153,'Cuadro Mando Integral Detallado'!AG212:AG214)</f>
        <v>0.99595499936796861</v>
      </c>
      <c r="AQ7" s="382">
        <f t="shared" si="29"/>
        <v>0.99595499936796861</v>
      </c>
      <c r="AR7" s="373">
        <f t="shared" si="30"/>
        <v>0.99595499936796861</v>
      </c>
      <c r="AS7" s="373">
        <f t="shared" si="31"/>
        <v>0.99595499936796861</v>
      </c>
      <c r="AT7" s="373">
        <f t="shared" si="32"/>
        <v>0.99595499936796861</v>
      </c>
      <c r="AU7" s="374">
        <f t="shared" si="33"/>
        <v>0.99595499936796861</v>
      </c>
      <c r="AV7" s="417">
        <f>AVERAGE('Cuadro Mando Integral Detallado'!AI148:AI153,'Cuadro Mando Integral Detallado'!AI212:AI214)</f>
        <v>0.99827540333745035</v>
      </c>
      <c r="AW7" s="382">
        <f t="shared" si="34"/>
        <v>0.99827540333745035</v>
      </c>
      <c r="AX7" s="377">
        <f t="shared" si="35"/>
        <v>0.99827540333745035</v>
      </c>
      <c r="AY7" s="377">
        <f t="shared" si="36"/>
        <v>0.99827540333745035</v>
      </c>
      <c r="AZ7" s="377">
        <f t="shared" si="37"/>
        <v>0.99827540333745035</v>
      </c>
      <c r="BA7" s="378">
        <f t="shared" si="38"/>
        <v>0.99827540333745035</v>
      </c>
    </row>
    <row r="8" spans="1:53" ht="72" x14ac:dyDescent="0.25">
      <c r="A8" s="370" t="s">
        <v>1213</v>
      </c>
      <c r="B8" s="352"/>
      <c r="C8" s="417">
        <f>AVERAGE('Cuadro Mando Integral Detallado'!L144:L147,'Cuadro Mando Integral Detallado'!L211)</f>
        <v>0.99642535533489107</v>
      </c>
      <c r="D8" s="502">
        <f t="shared" si="0"/>
        <v>0.99642535533489107</v>
      </c>
      <c r="E8" s="500">
        <f t="shared" si="1"/>
        <v>0.99642535533489107</v>
      </c>
      <c r="F8" s="500">
        <f t="shared" si="2"/>
        <v>0.99642535533489107</v>
      </c>
      <c r="G8" s="373">
        <f t="shared" si="3"/>
        <v>0.99642535533489107</v>
      </c>
      <c r="H8" s="501">
        <f t="shared" si="4"/>
        <v>0.99642535533489107</v>
      </c>
      <c r="I8" s="423">
        <f>AVERAGE('Cuadro Mando Integral Detallado'!O144:O147,'Cuadro Mando Integral Detallado'!O211)</f>
        <v>0.24910810347079912</v>
      </c>
      <c r="J8" s="376">
        <f t="shared" si="5"/>
        <v>0.24910810347079912</v>
      </c>
      <c r="K8" s="377">
        <f t="shared" si="6"/>
        <v>0.24910810347079912</v>
      </c>
      <c r="L8" s="377">
        <f t="shared" si="7"/>
        <v>0.24910810347079912</v>
      </c>
      <c r="M8" s="377">
        <f t="shared" si="8"/>
        <v>0.24910810347079912</v>
      </c>
      <c r="N8" s="378">
        <f t="shared" si="9"/>
        <v>0.24910810347079912</v>
      </c>
      <c r="O8" s="11"/>
      <c r="P8" s="417">
        <f>AVERAGE('Cuadro Mando Integral Detallado'!S144:S147,'Cuadro Mando Integral Detallado'!S211)</f>
        <v>0.99939782721263659</v>
      </c>
      <c r="Q8" s="382">
        <f t="shared" si="10"/>
        <v>0.99939782721263659</v>
      </c>
      <c r="R8" s="373">
        <f t="shared" si="11"/>
        <v>0.99939782721263659</v>
      </c>
      <c r="S8" s="373">
        <f t="shared" si="12"/>
        <v>0.99939782721263659</v>
      </c>
      <c r="T8" s="373">
        <f t="shared" si="13"/>
        <v>0.99939782721263659</v>
      </c>
      <c r="U8" s="374">
        <f t="shared" si="14"/>
        <v>0.99939782721263659</v>
      </c>
      <c r="V8" s="417">
        <f>AVERAGE('Cuadro Mando Integral Detallado'!V144:V147,'Cuadro Mando Integral Detallado'!V211)</f>
        <v>0.49895890175120833</v>
      </c>
      <c r="W8" s="376">
        <f t="shared" si="15"/>
        <v>0.49895890175120833</v>
      </c>
      <c r="X8" s="377">
        <f t="shared" si="16"/>
        <v>0.49895890175120833</v>
      </c>
      <c r="Y8" s="377">
        <f t="shared" si="17"/>
        <v>0.49895890175120833</v>
      </c>
      <c r="Z8" s="377">
        <f>+V8</f>
        <v>0.49895890175120833</v>
      </c>
      <c r="AA8" s="378">
        <f t="shared" si="18"/>
        <v>0.49895890175120833</v>
      </c>
      <c r="AB8" s="409"/>
      <c r="AC8" s="417">
        <f>AVERAGE('Cuadro Mando Integral Detallado'!Z144:Z147,'Cuadro Mando Integral Detallado'!Z211)</f>
        <v>0.92885731426514073</v>
      </c>
      <c r="AD8" s="382">
        <f t="shared" si="19"/>
        <v>0.92885731426514073</v>
      </c>
      <c r="AE8" s="373">
        <f t="shared" si="20"/>
        <v>0.92885731426514073</v>
      </c>
      <c r="AF8" s="373">
        <f t="shared" si="21"/>
        <v>0.92885731426514073</v>
      </c>
      <c r="AG8" s="373">
        <f t="shared" si="22"/>
        <v>0.92885731426514073</v>
      </c>
      <c r="AH8" s="374">
        <f t="shared" si="23"/>
        <v>0.92885731426514073</v>
      </c>
      <c r="AI8" s="417">
        <f>AVERAGE('Cuadro Mando Integral Detallado'!AC144:AC147,'Cuadro Mando Integral Detallado'!AC211)</f>
        <v>0.73117323031749348</v>
      </c>
      <c r="AJ8" s="382">
        <f t="shared" si="24"/>
        <v>0.73117323031749348</v>
      </c>
      <c r="AK8" s="377">
        <f t="shared" si="25"/>
        <v>0.73117323031749348</v>
      </c>
      <c r="AL8" s="377">
        <f t="shared" si="26"/>
        <v>0.73117323031749348</v>
      </c>
      <c r="AM8" s="377">
        <f t="shared" si="27"/>
        <v>0.73117323031749348</v>
      </c>
      <c r="AN8" s="378">
        <f t="shared" si="28"/>
        <v>0.73117323031749348</v>
      </c>
      <c r="AO8" s="409"/>
      <c r="AP8" s="417">
        <f>AVERAGE('Cuadro Mando Integral Detallado'!AG144:AG147,'Cuadro Mando Integral Detallado'!AG211)</f>
        <v>0.89886050058610145</v>
      </c>
      <c r="AQ8" s="382">
        <f t="shared" si="29"/>
        <v>0.89886050058610145</v>
      </c>
      <c r="AR8" s="373">
        <f t="shared" si="30"/>
        <v>0.89886050058610145</v>
      </c>
      <c r="AS8" s="373">
        <f t="shared" si="31"/>
        <v>0.89886050058610145</v>
      </c>
      <c r="AT8" s="373">
        <f t="shared" si="32"/>
        <v>0.89886050058610145</v>
      </c>
      <c r="AU8" s="374">
        <f t="shared" si="33"/>
        <v>0.89886050058610145</v>
      </c>
      <c r="AV8" s="417">
        <f>AVERAGE('Cuadro Mando Integral Detallado'!AI144:AI147,'Cuadro Mando Integral Detallado'!AI211)</f>
        <v>0.95588524934969255</v>
      </c>
      <c r="AW8" s="382">
        <f t="shared" si="34"/>
        <v>0.95588524934969255</v>
      </c>
      <c r="AX8" s="377">
        <f t="shared" si="35"/>
        <v>0.95588524934969255</v>
      </c>
      <c r="AY8" s="377">
        <f t="shared" si="36"/>
        <v>0.95588524934969255</v>
      </c>
      <c r="AZ8" s="377">
        <f t="shared" si="37"/>
        <v>0.95588524934969255</v>
      </c>
      <c r="BA8" s="378">
        <f t="shared" si="38"/>
        <v>0.95588524934969255</v>
      </c>
    </row>
    <row r="9" spans="1:53" ht="54" x14ac:dyDescent="0.25">
      <c r="A9" s="370" t="s">
        <v>1215</v>
      </c>
      <c r="B9" s="352"/>
      <c r="C9" s="417" t="e">
        <f>AVERAGE('Cuadro Mando Integral Detallado'!L215:L217)</f>
        <v>#DIV/0!</v>
      </c>
      <c r="D9" s="502" t="e">
        <f>+C9</f>
        <v>#DIV/0!</v>
      </c>
      <c r="E9" s="500" t="e">
        <f>+C9</f>
        <v>#DIV/0!</v>
      </c>
      <c r="F9" s="500" t="e">
        <f>+C9</f>
        <v>#DIV/0!</v>
      </c>
      <c r="G9" s="373" t="e">
        <f>+C9</f>
        <v>#DIV/0!</v>
      </c>
      <c r="H9" s="501" t="e">
        <f>+C9</f>
        <v>#DIV/0!</v>
      </c>
      <c r="I9" s="423" t="e">
        <f>AVERAGE('Cuadro Mando Integral Detallado'!O215:O217)</f>
        <v>#DIV/0!</v>
      </c>
      <c r="J9" s="376" t="e">
        <f t="shared" si="5"/>
        <v>#DIV/0!</v>
      </c>
      <c r="K9" s="377" t="e">
        <f t="shared" si="6"/>
        <v>#DIV/0!</v>
      </c>
      <c r="L9" s="377" t="e">
        <f t="shared" si="7"/>
        <v>#DIV/0!</v>
      </c>
      <c r="M9" s="377" t="e">
        <f t="shared" si="8"/>
        <v>#DIV/0!</v>
      </c>
      <c r="N9" s="378" t="e">
        <f t="shared" si="9"/>
        <v>#DIV/0!</v>
      </c>
      <c r="O9" s="11"/>
      <c r="P9" s="417">
        <f>AVERAGE('Cuadro Mando Integral Detallado'!S215:S217)</f>
        <v>0</v>
      </c>
      <c r="Q9" s="382">
        <f t="shared" si="10"/>
        <v>0</v>
      </c>
      <c r="R9" s="373">
        <f>+P9</f>
        <v>0</v>
      </c>
      <c r="S9" s="373">
        <f>+P9</f>
        <v>0</v>
      </c>
      <c r="T9" s="373">
        <f>+P9</f>
        <v>0</v>
      </c>
      <c r="U9" s="374">
        <f>+Q9</f>
        <v>0</v>
      </c>
      <c r="V9" s="417">
        <f>AVERAGE('Cuadro Mando Integral Detallado'!V215:V217)</f>
        <v>0</v>
      </c>
      <c r="W9" s="376">
        <f t="shared" si="15"/>
        <v>0</v>
      </c>
      <c r="X9" s="377">
        <f t="shared" si="16"/>
        <v>0</v>
      </c>
      <c r="Y9" s="377">
        <f t="shared" si="17"/>
        <v>0</v>
      </c>
      <c r="Z9" s="377">
        <f>+V9</f>
        <v>0</v>
      </c>
      <c r="AA9" s="378">
        <f t="shared" si="18"/>
        <v>0</v>
      </c>
      <c r="AB9" s="409"/>
      <c r="AC9" s="417" t="e">
        <f>AVERAGE('Cuadro Mando Integral Detallado'!Z215:Z217)</f>
        <v>#DIV/0!</v>
      </c>
      <c r="AD9" s="382" t="e">
        <f>+AC9</f>
        <v>#DIV/0!</v>
      </c>
      <c r="AE9" s="373" t="e">
        <f>+AC9</f>
        <v>#DIV/0!</v>
      </c>
      <c r="AF9" s="373" t="e">
        <f>+AC9</f>
        <v>#DIV/0!</v>
      </c>
      <c r="AG9" s="373" t="e">
        <f t="shared" si="22"/>
        <v>#DIV/0!</v>
      </c>
      <c r="AH9" s="374" t="e">
        <f>+AC9</f>
        <v>#DIV/0!</v>
      </c>
      <c r="AI9" s="417">
        <f>AVERAGE('Cuadro Mando Integral Detallado'!AC215:AI217)</f>
        <v>0.81818181818181823</v>
      </c>
      <c r="AJ9" s="382">
        <f t="shared" si="24"/>
        <v>0.81818181818181823</v>
      </c>
      <c r="AK9" s="377">
        <f t="shared" si="25"/>
        <v>0.81818181818181823</v>
      </c>
      <c r="AL9" s="377">
        <f t="shared" si="26"/>
        <v>0.81818181818181823</v>
      </c>
      <c r="AM9" s="377">
        <f t="shared" si="27"/>
        <v>0.81818181818181823</v>
      </c>
      <c r="AN9" s="378">
        <f t="shared" si="28"/>
        <v>0.81818181818181823</v>
      </c>
      <c r="AO9" s="409"/>
      <c r="AP9" s="417">
        <f>AVERAGE('Cuadro Mando Integral Detallado'!AG215:AG217)</f>
        <v>1</v>
      </c>
      <c r="AQ9" s="382">
        <f>+AP9</f>
        <v>1</v>
      </c>
      <c r="AR9" s="373">
        <f>+AP9</f>
        <v>1</v>
      </c>
      <c r="AS9" s="373">
        <f>+AP9</f>
        <v>1</v>
      </c>
      <c r="AT9" s="373">
        <f>+AP9</f>
        <v>1</v>
      </c>
      <c r="AU9" s="374">
        <f>+AP9</f>
        <v>1</v>
      </c>
      <c r="AV9" s="417">
        <f>AVERAGE('Cuadro Mando Integral Detallado'!AI215:AI217)</f>
        <v>0.75</v>
      </c>
      <c r="AW9" s="382">
        <f>+AV9</f>
        <v>0.75</v>
      </c>
      <c r="AX9" s="377">
        <f>+AV9</f>
        <v>0.75</v>
      </c>
      <c r="AY9" s="377">
        <f>+AV9</f>
        <v>0.75</v>
      </c>
      <c r="AZ9" s="377">
        <f>+AV9</f>
        <v>0.75</v>
      </c>
      <c r="BA9" s="378">
        <f>+AV9</f>
        <v>0.75</v>
      </c>
    </row>
    <row r="10" spans="1:53" ht="36" x14ac:dyDescent="0.25">
      <c r="A10" s="370" t="s">
        <v>1217</v>
      </c>
      <c r="B10" s="352"/>
      <c r="C10" s="417">
        <f>AVERAGE('Cuadro Mando Integral Detallado'!L159:L162,'Cuadro Mando Integral Detallado'!L218:L220)</f>
        <v>0.48255396856453397</v>
      </c>
      <c r="D10" s="502">
        <f>+C10</f>
        <v>0.48255396856453397</v>
      </c>
      <c r="E10" s="500">
        <f>+C10</f>
        <v>0.48255396856453397</v>
      </c>
      <c r="F10" s="500">
        <f>+C10</f>
        <v>0.48255396856453397</v>
      </c>
      <c r="G10" s="373">
        <f>+C10</f>
        <v>0.48255396856453397</v>
      </c>
      <c r="H10" s="501">
        <f>+C10</f>
        <v>0.48255396856453397</v>
      </c>
      <c r="I10" s="423">
        <f>AVERAGE('Cuadro Mando Integral Detallado'!O159:O162,'Cuadro Mando Integral Detallado'!O218:O220)</f>
        <v>0.21056273456537591</v>
      </c>
      <c r="J10" s="376">
        <f t="shared" si="5"/>
        <v>0.21056273456537591</v>
      </c>
      <c r="K10" s="377">
        <f t="shared" si="6"/>
        <v>0.21056273456537591</v>
      </c>
      <c r="L10" s="377">
        <f t="shared" si="7"/>
        <v>0.21056273456537591</v>
      </c>
      <c r="M10" s="377">
        <f t="shared" si="8"/>
        <v>0.21056273456537591</v>
      </c>
      <c r="N10" s="378">
        <f t="shared" si="9"/>
        <v>0.21056273456537591</v>
      </c>
      <c r="O10" s="11"/>
      <c r="P10" s="417">
        <f>AVERAGE('Cuadro Mando Integral Detallado'!S159:S162,'Cuadro Mando Integral Detallado'!S218:S220)</f>
        <v>1</v>
      </c>
      <c r="Q10" s="382">
        <f t="shared" si="10"/>
        <v>1</v>
      </c>
      <c r="R10" s="373">
        <f>+P10</f>
        <v>1</v>
      </c>
      <c r="S10" s="373">
        <f>+P10</f>
        <v>1</v>
      </c>
      <c r="T10" s="373">
        <f>+P10</f>
        <v>1</v>
      </c>
      <c r="U10" s="374">
        <f>+P10</f>
        <v>1</v>
      </c>
      <c r="V10" s="417">
        <f>AVERAGE('Cuadro Mando Integral Detallado'!V159:V162,'Cuadro Mando Integral Detallado'!V218:V220)</f>
        <v>0.29389606789870926</v>
      </c>
      <c r="W10" s="376">
        <f t="shared" si="15"/>
        <v>0.29389606789870926</v>
      </c>
      <c r="X10" s="377">
        <f t="shared" si="16"/>
        <v>0.29389606789870926</v>
      </c>
      <c r="Y10" s="377">
        <f t="shared" si="17"/>
        <v>0.29389606789870926</v>
      </c>
      <c r="Z10" s="377">
        <f>++V10</f>
        <v>0.29389606789870926</v>
      </c>
      <c r="AA10" s="378">
        <f t="shared" si="18"/>
        <v>0.29389606789870926</v>
      </c>
      <c r="AB10" s="409"/>
      <c r="AC10" s="417">
        <f>AVERAGE('Cuadro Mando Integral Detallado'!Z159:Z162,'Cuadro Mando Integral Detallado'!Z218:Z220)</f>
        <v>1</v>
      </c>
      <c r="AD10" s="382">
        <f>+AC10</f>
        <v>1</v>
      </c>
      <c r="AE10" s="373">
        <f>+AC10</f>
        <v>1</v>
      </c>
      <c r="AF10" s="373">
        <f>+AC10</f>
        <v>1</v>
      </c>
      <c r="AG10" s="373">
        <f t="shared" si="22"/>
        <v>1</v>
      </c>
      <c r="AH10" s="374">
        <f>+AC10</f>
        <v>1</v>
      </c>
      <c r="AI10" s="417">
        <f>AVERAGE('Cuadro Mando Integral Detallado'!AC159:AC162,'Cuadro Mando Integral Detallado'!AC218:AC220)</f>
        <v>0.37722940123204257</v>
      </c>
      <c r="AJ10" s="382">
        <f t="shared" si="24"/>
        <v>0.37722940123204257</v>
      </c>
      <c r="AK10" s="377">
        <f t="shared" si="25"/>
        <v>0.37722940123204257</v>
      </c>
      <c r="AL10" s="377">
        <f t="shared" si="26"/>
        <v>0.37722940123204257</v>
      </c>
      <c r="AM10" s="377">
        <f t="shared" si="27"/>
        <v>0.37722940123204257</v>
      </c>
      <c r="AN10" s="378">
        <f t="shared" si="28"/>
        <v>0.37722940123204257</v>
      </c>
      <c r="AO10" s="409"/>
      <c r="AP10" s="417">
        <f>AVERAGE('Cuadro Mando Integral Detallado'!AG159:AG162,'Cuadro Mando Integral Detallado'!AG218:AG220)</f>
        <v>1</v>
      </c>
      <c r="AQ10" s="382">
        <f>+AP10</f>
        <v>1</v>
      </c>
      <c r="AR10" s="373">
        <f>+AP10</f>
        <v>1</v>
      </c>
      <c r="AS10" s="373">
        <f>+AP10</f>
        <v>1</v>
      </c>
      <c r="AT10" s="373">
        <f>+AP10</f>
        <v>1</v>
      </c>
      <c r="AU10" s="374">
        <f>+AP10</f>
        <v>1</v>
      </c>
      <c r="AV10" s="417">
        <f>AVERAGE('Cuadro Mando Integral Detallado'!AI159:AI162,'Cuadro Mando Integral Detallado'!AI218:AI220)</f>
        <v>0.76881260052801814</v>
      </c>
      <c r="AW10" s="382">
        <f>+AV10</f>
        <v>0.76881260052801814</v>
      </c>
      <c r="AX10" s="377">
        <f>+AV10</f>
        <v>0.76881260052801814</v>
      </c>
      <c r="AY10" s="377">
        <f>+AV10</f>
        <v>0.76881260052801814</v>
      </c>
      <c r="AZ10" s="377">
        <f>+AV10</f>
        <v>0.76881260052801814</v>
      </c>
      <c r="BA10" s="378">
        <f>+AV10</f>
        <v>0.76881260052801814</v>
      </c>
    </row>
    <row r="11" spans="1:53" ht="36" x14ac:dyDescent="0.25">
      <c r="A11" s="370" t="s">
        <v>1216</v>
      </c>
      <c r="B11" s="352"/>
      <c r="C11" s="417">
        <f>AVERAGE('Cuadro Mando Integral Detallado'!L166:L171,'Cuadro Mando Integral Detallado'!L223:L237)</f>
        <v>0.69041476899838627</v>
      </c>
      <c r="D11" s="502">
        <f>+C11</f>
        <v>0.69041476899838627</v>
      </c>
      <c r="E11" s="500">
        <f>+C11</f>
        <v>0.69041476899838627</v>
      </c>
      <c r="F11" s="500">
        <f>+C11</f>
        <v>0.69041476899838627</v>
      </c>
      <c r="G11" s="373">
        <f>+C11</f>
        <v>0.69041476899838627</v>
      </c>
      <c r="H11" s="501">
        <f>+C11</f>
        <v>0.69041476899838627</v>
      </c>
      <c r="I11" s="423">
        <f>AVERAGE('Cuadro Mando Integral Detallado'!O166:O171,'Cuadro Mando Integral Detallado'!O223:O237)</f>
        <v>0.26427035891626327</v>
      </c>
      <c r="J11" s="376">
        <f t="shared" si="5"/>
        <v>0.26427035891626327</v>
      </c>
      <c r="K11" s="377">
        <f t="shared" si="6"/>
        <v>0.26427035891626327</v>
      </c>
      <c r="L11" s="377">
        <f t="shared" si="7"/>
        <v>0.26427035891626327</v>
      </c>
      <c r="M11" s="377">
        <f t="shared" si="8"/>
        <v>0.26427035891626327</v>
      </c>
      <c r="N11" s="378">
        <f t="shared" si="9"/>
        <v>0.26427035891626327</v>
      </c>
      <c r="O11" s="11"/>
      <c r="P11" s="417">
        <f>AVERAGE('Cuadro Mando Integral Detallado'!S166:S171,'Cuadro Mando Integral Detallado'!S223,S220:S232)</f>
        <v>0.92917837649597301</v>
      </c>
      <c r="Q11" s="382">
        <f t="shared" si="10"/>
        <v>0.92917837649597301</v>
      </c>
      <c r="R11" s="373">
        <f>+P11</f>
        <v>0.92917837649597301</v>
      </c>
      <c r="S11" s="373">
        <f>+P11</f>
        <v>0.92917837649597301</v>
      </c>
      <c r="T11" s="373">
        <f>+P11</f>
        <v>0.92917837649597301</v>
      </c>
      <c r="U11" s="374">
        <f>+P11</f>
        <v>0.92917837649597301</v>
      </c>
      <c r="V11" s="417">
        <f>AVERAGE('Cuadro Mando Integral Detallado'!V166:V171,'Cuadro Mando Integral Detallado'!V223:V237)</f>
        <v>0.43901831266603336</v>
      </c>
      <c r="W11" s="376">
        <f t="shared" si="15"/>
        <v>0.43901831266603336</v>
      </c>
      <c r="X11" s="377">
        <f t="shared" si="16"/>
        <v>0.43901831266603336</v>
      </c>
      <c r="Y11" s="377">
        <f t="shared" si="17"/>
        <v>0.43901831266603336</v>
      </c>
      <c r="Z11" s="377">
        <f>++V11</f>
        <v>0.43901831266603336</v>
      </c>
      <c r="AA11" s="378">
        <f t="shared" si="18"/>
        <v>0.43901831266603336</v>
      </c>
      <c r="AB11" s="409"/>
      <c r="AC11" s="417">
        <f>AVERAGE('Cuadro Mando Integral Detallado'!Z166:Z171,'Cuadro Mando Integral Detallado'!Z223:Z237)</f>
        <v>0.93317520764208306</v>
      </c>
      <c r="AD11" s="382">
        <f>+AC11</f>
        <v>0.93317520764208306</v>
      </c>
      <c r="AE11" s="373">
        <f>+AC11</f>
        <v>0.93317520764208306</v>
      </c>
      <c r="AF11" s="373">
        <f>+AC11</f>
        <v>0.93317520764208306</v>
      </c>
      <c r="AG11" s="373">
        <f t="shared" si="22"/>
        <v>0.93317520764208306</v>
      </c>
      <c r="AH11" s="374">
        <f>+AC11</f>
        <v>0.93317520764208306</v>
      </c>
      <c r="AI11" s="417">
        <f>AVERAGE('Cuadro Mando Integral Detallado'!AC166:AC171,'Cuadro Mando Integral Detallado'!AC223:AC237)</f>
        <v>0.61286832654941892</v>
      </c>
      <c r="AJ11" s="382">
        <f t="shared" si="24"/>
        <v>0.61286832654941892</v>
      </c>
      <c r="AK11" s="377">
        <f t="shared" si="25"/>
        <v>0.61286832654941892</v>
      </c>
      <c r="AL11" s="377">
        <f t="shared" si="26"/>
        <v>0.61286832654941892</v>
      </c>
      <c r="AM11" s="377">
        <f t="shared" si="27"/>
        <v>0.61286832654941892</v>
      </c>
      <c r="AN11" s="378">
        <f t="shared" si="28"/>
        <v>0.61286832654941892</v>
      </c>
      <c r="AO11" s="409"/>
      <c r="AP11" s="417">
        <f>AVERAGE('Cuadro Mando Integral Detallado'!AG166:AG171,'Cuadro Mando Integral Detallado'!AG223:AG237)</f>
        <v>0.99783918953577833</v>
      </c>
      <c r="AQ11" s="382">
        <f>+AP11</f>
        <v>0.99783918953577833</v>
      </c>
      <c r="AR11" s="373">
        <f>+AP11</f>
        <v>0.99783918953577833</v>
      </c>
      <c r="AS11" s="373">
        <f>+AP11</f>
        <v>0.99783918953577833</v>
      </c>
      <c r="AT11" s="373">
        <f>+AP11</f>
        <v>0.99783918953577833</v>
      </c>
      <c r="AU11" s="374">
        <f>+AP11</f>
        <v>0.99783918953577833</v>
      </c>
      <c r="AV11" s="417">
        <f>AVERAGE('Cuadro Mando Integral Detallado'!AI166:AI171,'Cuadro Mando Integral Detallado'!AI223:AI237)</f>
        <v>0.76101343505737595</v>
      </c>
      <c r="AW11" s="382">
        <f>+AV11</f>
        <v>0.76101343505737595</v>
      </c>
      <c r="AX11" s="377">
        <f>+AV11</f>
        <v>0.76101343505737595</v>
      </c>
      <c r="AY11" s="377">
        <f>+AV11</f>
        <v>0.76101343505737595</v>
      </c>
      <c r="AZ11" s="377">
        <f>+AV11</f>
        <v>0.76101343505737595</v>
      </c>
      <c r="BA11" s="378">
        <f>+AV11</f>
        <v>0.76101343505737595</v>
      </c>
    </row>
    <row r="12" spans="1:53" ht="54" x14ac:dyDescent="0.25">
      <c r="A12" s="370" t="s">
        <v>1218</v>
      </c>
      <c r="B12" s="352"/>
      <c r="C12" s="417">
        <f>AVERAGE('Cuadro Mando Integral Detallado'!L159:L162,'Cuadro Mando Integral Detallado'!L166:L171,'Cuadro Mando Integral Detallado'!L215:L220,'Cuadro Mando Integral Detallado'!L223:L237)</f>
        <v>0.66072036893640718</v>
      </c>
      <c r="D12" s="502">
        <f>+C12</f>
        <v>0.66072036893640718</v>
      </c>
      <c r="E12" s="500">
        <f>+C12</f>
        <v>0.66072036893640718</v>
      </c>
      <c r="F12" s="500">
        <f>+C12</f>
        <v>0.66072036893640718</v>
      </c>
      <c r="G12" s="373">
        <f>+C12</f>
        <v>0.66072036893640718</v>
      </c>
      <c r="H12" s="501">
        <f>+C12</f>
        <v>0.66072036893640718</v>
      </c>
      <c r="I12" s="423">
        <f>AVERAGE('Cuadro Mando Integral Detallado'!O159:O162,'Cuadro Mando Integral Detallado'!O166:O171,'Cuadro Mando Integral Detallado'!O215:O220,'Cuadro Mando Integral Detallado'!O223:O237)</f>
        <v>0.25659784115185075</v>
      </c>
      <c r="J12" s="376">
        <f t="shared" si="5"/>
        <v>0.25659784115185075</v>
      </c>
      <c r="K12" s="377">
        <f t="shared" si="6"/>
        <v>0.25659784115185075</v>
      </c>
      <c r="L12" s="377">
        <f t="shared" si="7"/>
        <v>0.25659784115185075</v>
      </c>
      <c r="M12" s="377">
        <f t="shared" si="8"/>
        <v>0.25659784115185075</v>
      </c>
      <c r="N12" s="378">
        <f t="shared" si="9"/>
        <v>0.25659784115185075</v>
      </c>
      <c r="O12" s="11"/>
      <c r="P12" s="417">
        <f>AVERAGE('Cuadro Mando Integral Detallado'!S159:S162,'Cuadro Mando Integral Detallado'!S166:S171,'Cuadro Mando Integral Detallado'!S215:S220,'Cuadro Mando Integral Detallado'!S223,S220:S232)</f>
        <v>0.80655598321140931</v>
      </c>
      <c r="Q12" s="382">
        <f t="shared" si="10"/>
        <v>0.80655598321140931</v>
      </c>
      <c r="R12" s="373">
        <f>+P12</f>
        <v>0.80655598321140931</v>
      </c>
      <c r="S12" s="373">
        <f>+P12</f>
        <v>0.80655598321140931</v>
      </c>
      <c r="T12" s="373">
        <f>+P12</f>
        <v>0.80655598321140931</v>
      </c>
      <c r="U12" s="374">
        <f>+P12</f>
        <v>0.80655598321140931</v>
      </c>
      <c r="V12" s="417">
        <f>AVERAGE('Cuadro Mando Integral Detallado'!V159:V162,'Cuadro Mando Integral Detallado'!V166:V171,'Cuadro Mando Integral Detallado'!V215:V220,'Cuadro Mando Integral Detallado'!V223:V237)</f>
        <v>0.40100157149351134</v>
      </c>
      <c r="W12" s="376">
        <f t="shared" si="15"/>
        <v>0.40100157149351134</v>
      </c>
      <c r="X12" s="377">
        <f t="shared" si="16"/>
        <v>0.40100157149351134</v>
      </c>
      <c r="Y12" s="377">
        <f t="shared" si="17"/>
        <v>0.40100157149351134</v>
      </c>
      <c r="Z12" s="377">
        <f>++V12</f>
        <v>0.40100157149351134</v>
      </c>
      <c r="AA12" s="378">
        <f t="shared" si="18"/>
        <v>0.40100157149351134</v>
      </c>
      <c r="AB12" s="409"/>
      <c r="AC12" s="417">
        <f>AVERAGE('Cuadro Mando Integral Detallado'!Z159:Z162,'Cuadro Mando Integral Detallado'!Z166:Z171,'Cuadro Mando Integral Detallado'!Z215:Z220,'Cuadro Mando Integral Detallado'!Z223:Z237)</f>
        <v>0.93763019379927748</v>
      </c>
      <c r="AD12" s="382">
        <f>+AC12</f>
        <v>0.93763019379927748</v>
      </c>
      <c r="AE12" s="373">
        <f>+AC12</f>
        <v>0.93763019379927748</v>
      </c>
      <c r="AF12" s="373">
        <f>+AC12</f>
        <v>0.93763019379927748</v>
      </c>
      <c r="AG12" s="373">
        <f t="shared" si="22"/>
        <v>0.93763019379927748</v>
      </c>
      <c r="AH12" s="374">
        <f>+AC12</f>
        <v>0.93763019379927748</v>
      </c>
      <c r="AI12" s="417">
        <f>AVERAGE('Cuadro Mando Integral Detallado'!AC159:AC162,'Cuadro Mando Integral Detallado'!AC166:AC171,'Cuadro Mando Integral Detallado'!AC215:AC220,'Cuadro Mando Integral Detallado'!AC223:AC237)</f>
        <v>0.55548636557109088</v>
      </c>
      <c r="AJ12" s="382">
        <f t="shared" si="24"/>
        <v>0.55548636557109088</v>
      </c>
      <c r="AK12" s="377">
        <f t="shared" si="25"/>
        <v>0.55548636557109088</v>
      </c>
      <c r="AL12" s="377">
        <f t="shared" si="26"/>
        <v>0.55548636557109088</v>
      </c>
      <c r="AM12" s="377">
        <f t="shared" si="27"/>
        <v>0.55548636557109088</v>
      </c>
      <c r="AN12" s="378">
        <f t="shared" si="28"/>
        <v>0.55548636557109088</v>
      </c>
      <c r="AO12" s="409"/>
      <c r="AP12" s="379">
        <f>AVERAGE('Cuadro Mando Integral Detallado'!AG159:AG162,'Cuadro Mando Integral Detallado'!AG166:AG171,'Cuadro Mando Integral Detallado'!AG215:AG220,'Cuadro Mando Integral Detallado'!AG223:AG237)</f>
        <v>0.99855945969051896</v>
      </c>
      <c r="AQ12" s="382">
        <f>+AP12</f>
        <v>0.99855945969051896</v>
      </c>
      <c r="AR12" s="373">
        <f>+AP12</f>
        <v>0.99855945969051896</v>
      </c>
      <c r="AS12" s="373">
        <f>+AP12</f>
        <v>0.99855945969051896</v>
      </c>
      <c r="AT12" s="373">
        <f>+AP12</f>
        <v>0.99855945969051896</v>
      </c>
      <c r="AU12" s="374">
        <f>+AP12</f>
        <v>0.99855945969051896</v>
      </c>
      <c r="AV12" s="417">
        <f>AVERAGE('Cuadro Mando Integral Detallado'!AI159:AI162,'Cuadro Mando Integral Detallado'!AI166:AI171,'Cuadro Mando Integral Detallado'!AI215:AI220,'Cuadro Mando Integral Detallado'!AI223:AI237)</f>
        <v>0.76213644499460853</v>
      </c>
      <c r="AW12" s="382">
        <f>+AV12</f>
        <v>0.76213644499460853</v>
      </c>
      <c r="AX12" s="377">
        <f>+AV12</f>
        <v>0.76213644499460853</v>
      </c>
      <c r="AY12" s="377">
        <f>+AV12</f>
        <v>0.76213644499460853</v>
      </c>
      <c r="AZ12" s="377">
        <f>+AV12</f>
        <v>0.76213644499460853</v>
      </c>
      <c r="BA12" s="378">
        <f>+AV12</f>
        <v>0.76213644499460853</v>
      </c>
    </row>
    <row r="13" spans="1:53" ht="90" x14ac:dyDescent="0.25">
      <c r="A13" s="370" t="s">
        <v>1214</v>
      </c>
      <c r="B13" s="352"/>
      <c r="C13" s="417">
        <f>'Cuadro Mando Integral Detallado'!L158</f>
        <v>1</v>
      </c>
      <c r="D13" s="502">
        <f t="shared" si="0"/>
        <v>1</v>
      </c>
      <c r="E13" s="500">
        <f t="shared" si="1"/>
        <v>1</v>
      </c>
      <c r="F13" s="500">
        <f t="shared" si="2"/>
        <v>1</v>
      </c>
      <c r="G13" s="373">
        <f t="shared" si="3"/>
        <v>1</v>
      </c>
      <c r="H13" s="501">
        <f t="shared" si="4"/>
        <v>1</v>
      </c>
      <c r="I13" s="423">
        <f>'Cuadro Mando Integral Detallado'!O158</f>
        <v>0.25</v>
      </c>
      <c r="J13" s="376">
        <f t="shared" si="5"/>
        <v>0.25</v>
      </c>
      <c r="K13" s="377">
        <f t="shared" si="6"/>
        <v>0.25</v>
      </c>
      <c r="L13" s="377">
        <f t="shared" si="7"/>
        <v>0.25</v>
      </c>
      <c r="M13" s="377">
        <f t="shared" si="8"/>
        <v>0.25</v>
      </c>
      <c r="N13" s="378">
        <f t="shared" si="9"/>
        <v>0.25</v>
      </c>
      <c r="O13" s="11"/>
      <c r="P13" s="417">
        <f>'Cuadro Mando Integral Detallado'!S158</f>
        <v>1</v>
      </c>
      <c r="Q13" s="382">
        <f t="shared" si="10"/>
        <v>1</v>
      </c>
      <c r="R13" s="373">
        <f t="shared" si="11"/>
        <v>1</v>
      </c>
      <c r="S13" s="373">
        <f t="shared" si="12"/>
        <v>1</v>
      </c>
      <c r="T13" s="373">
        <f t="shared" si="13"/>
        <v>1</v>
      </c>
      <c r="U13" s="374">
        <f t="shared" si="14"/>
        <v>1</v>
      </c>
      <c r="V13" s="417">
        <f>'Cuadro Mando Integral Detallado'!V158</f>
        <v>0.5</v>
      </c>
      <c r="W13" s="376">
        <f t="shared" si="15"/>
        <v>0.5</v>
      </c>
      <c r="X13" s="377">
        <f t="shared" si="16"/>
        <v>0.5</v>
      </c>
      <c r="Y13" s="377">
        <f t="shared" si="17"/>
        <v>0.5</v>
      </c>
      <c r="Z13" s="377">
        <f>+V13</f>
        <v>0.5</v>
      </c>
      <c r="AA13" s="378">
        <f t="shared" si="18"/>
        <v>0.5</v>
      </c>
      <c r="AB13" s="409"/>
      <c r="AC13" s="417">
        <f>'Cuadro Mando Integral Detallado'!Z158</f>
        <v>1</v>
      </c>
      <c r="AD13" s="382">
        <f t="shared" si="19"/>
        <v>1</v>
      </c>
      <c r="AE13" s="373">
        <f t="shared" si="20"/>
        <v>1</v>
      </c>
      <c r="AF13" s="373">
        <f t="shared" si="21"/>
        <v>1</v>
      </c>
      <c r="AG13" s="373">
        <f t="shared" si="22"/>
        <v>1</v>
      </c>
      <c r="AH13" s="374">
        <f t="shared" si="23"/>
        <v>1</v>
      </c>
      <c r="AI13" s="417">
        <f>'Cuadro Mando Integral Detallado'!AC158</f>
        <v>0.75</v>
      </c>
      <c r="AJ13" s="382">
        <f t="shared" si="24"/>
        <v>0.75</v>
      </c>
      <c r="AK13" s="377">
        <f t="shared" si="25"/>
        <v>0.75</v>
      </c>
      <c r="AL13" s="377">
        <f t="shared" si="26"/>
        <v>0.75</v>
      </c>
      <c r="AM13" s="377">
        <f t="shared" si="27"/>
        <v>0.75</v>
      </c>
      <c r="AN13" s="378">
        <f t="shared" si="28"/>
        <v>0.75</v>
      </c>
      <c r="AO13" s="409"/>
      <c r="AP13" s="417">
        <f>'Cuadro Mando Integral Detallado'!AG158</f>
        <v>1</v>
      </c>
      <c r="AQ13" s="382">
        <f>+AP13</f>
        <v>1</v>
      </c>
      <c r="AR13" s="373">
        <f>+AP13</f>
        <v>1</v>
      </c>
      <c r="AS13" s="373">
        <f>+AP13</f>
        <v>1</v>
      </c>
      <c r="AT13" s="373">
        <f>+AP13</f>
        <v>1</v>
      </c>
      <c r="AU13" s="374">
        <f>+AP13</f>
        <v>1</v>
      </c>
      <c r="AV13" s="417">
        <f>'Cuadro Mando Integral Detallado'!AI158</f>
        <v>1</v>
      </c>
      <c r="AW13" s="382">
        <f>+AV13</f>
        <v>1</v>
      </c>
      <c r="AX13" s="377">
        <f>+AV13</f>
        <v>1</v>
      </c>
      <c r="AY13" s="377">
        <f>+AV13</f>
        <v>1</v>
      </c>
      <c r="AZ13" s="377">
        <f>+AV13</f>
        <v>1</v>
      </c>
      <c r="BA13" s="378">
        <f>+AV13</f>
        <v>1</v>
      </c>
    </row>
    <row r="14" spans="1:53" ht="54" x14ac:dyDescent="0.25">
      <c r="A14" s="370" t="s">
        <v>1199</v>
      </c>
      <c r="B14" s="352"/>
      <c r="C14" s="417">
        <f>AVERAGE('Cuadro Mando Integral Detallado'!L163:L165,'Cuadro Mando Integral Detallado'!L221:L222)</f>
        <v>0.99987501698138848</v>
      </c>
      <c r="D14" s="502">
        <f t="shared" si="0"/>
        <v>0.99987501698138848</v>
      </c>
      <c r="E14" s="500">
        <f t="shared" si="1"/>
        <v>0.99987501698138848</v>
      </c>
      <c r="F14" s="500">
        <f t="shared" si="2"/>
        <v>0.99987501698138848</v>
      </c>
      <c r="G14" s="373">
        <f t="shared" si="3"/>
        <v>0.99987501698138848</v>
      </c>
      <c r="H14" s="501">
        <f t="shared" si="4"/>
        <v>0.99987501698138848</v>
      </c>
      <c r="I14" s="423">
        <f>AVERAGE('Cuadro Mando Integral Detallado'!O163:O165,'Cuadro Mando Integral Detallado'!O221:O222)</f>
        <v>0.24996875424534712</v>
      </c>
      <c r="J14" s="376">
        <f t="shared" si="5"/>
        <v>0.24996875424534712</v>
      </c>
      <c r="K14" s="377">
        <f t="shared" si="6"/>
        <v>0.24996875424534712</v>
      </c>
      <c r="L14" s="377">
        <f t="shared" si="7"/>
        <v>0.24996875424534712</v>
      </c>
      <c r="M14" s="377">
        <f t="shared" si="8"/>
        <v>0.24996875424534712</v>
      </c>
      <c r="N14" s="378">
        <f t="shared" si="9"/>
        <v>0.24996875424534712</v>
      </c>
      <c r="O14" s="11"/>
      <c r="P14" s="417">
        <f>AVERAGE('Cuadro Mando Integral Detallado'!S163:S165,'Cuadro Mando Integral Detallado'!S221:S222)</f>
        <v>0.99995922735844256</v>
      </c>
      <c r="Q14" s="382">
        <f t="shared" si="10"/>
        <v>0.99995922735844256</v>
      </c>
      <c r="R14" s="373">
        <f t="shared" si="11"/>
        <v>0.99995922735844256</v>
      </c>
      <c r="S14" s="373">
        <f t="shared" si="12"/>
        <v>0.99995922735844256</v>
      </c>
      <c r="T14" s="373">
        <f t="shared" si="13"/>
        <v>0.99995922735844256</v>
      </c>
      <c r="U14" s="374">
        <f t="shared" si="14"/>
        <v>0.99995922735844256</v>
      </c>
      <c r="V14" s="417">
        <f>AVERAGE('Cuadro Mando Integral Detallado'!V163:V165,'Cuadro Mando Integral Detallado'!V221:V222)</f>
        <v>0.49995856108495768</v>
      </c>
      <c r="W14" s="376">
        <f t="shared" si="15"/>
        <v>0.49995856108495768</v>
      </c>
      <c r="X14" s="377">
        <f t="shared" si="16"/>
        <v>0.49995856108495768</v>
      </c>
      <c r="Y14" s="377">
        <f t="shared" si="17"/>
        <v>0.49995856108495768</v>
      </c>
      <c r="Z14" s="377">
        <f>+V14</f>
        <v>0.49995856108495768</v>
      </c>
      <c r="AA14" s="378">
        <f t="shared" si="18"/>
        <v>0.49995856108495768</v>
      </c>
      <c r="AB14" s="409"/>
      <c r="AC14" s="417">
        <f>AVERAGE('Cuadro Mando Integral Detallado'!Z163:Z165,'Cuadro Mando Integral Detallado'!Z221:Z222)</f>
        <v>0.99995727915697541</v>
      </c>
      <c r="AD14" s="382">
        <f t="shared" si="19"/>
        <v>0.99995727915697541</v>
      </c>
      <c r="AE14" s="373">
        <f t="shared" si="20"/>
        <v>0.99995727915697541</v>
      </c>
      <c r="AF14" s="373">
        <f t="shared" si="21"/>
        <v>0.99995727915697541</v>
      </c>
      <c r="AG14" s="373">
        <f t="shared" si="22"/>
        <v>0.99995727915697541</v>
      </c>
      <c r="AH14" s="374">
        <f t="shared" si="23"/>
        <v>0.99995727915697541</v>
      </c>
      <c r="AI14" s="417">
        <f>AVERAGE('Cuadro Mando Integral Detallado'!AC163:AC165,'Cuadro Mando Integral Detallado'!AC221:AC222)</f>
        <v>0.7499478808742015</v>
      </c>
      <c r="AJ14" s="382">
        <f t="shared" si="24"/>
        <v>0.7499478808742015</v>
      </c>
      <c r="AK14" s="377">
        <f t="shared" si="25"/>
        <v>0.7499478808742015</v>
      </c>
      <c r="AL14" s="377">
        <f t="shared" si="26"/>
        <v>0.7499478808742015</v>
      </c>
      <c r="AM14" s="377">
        <f t="shared" si="27"/>
        <v>0.7499478808742015</v>
      </c>
      <c r="AN14" s="378">
        <f t="shared" si="28"/>
        <v>0.7499478808742015</v>
      </c>
      <c r="AO14" s="409"/>
      <c r="AP14" s="417">
        <f>AVERAGE('Cuadro Mando Integral Detallado'!AG163:AG165,'Cuadro Mando Integral Detallado'!AG221:AG222)</f>
        <v>0.99997576143189337</v>
      </c>
      <c r="AQ14" s="382">
        <f t="shared" si="29"/>
        <v>0.99997576143189337</v>
      </c>
      <c r="AR14" s="373">
        <f t="shared" si="30"/>
        <v>0.99997576143189337</v>
      </c>
      <c r="AS14" s="373">
        <f t="shared" si="31"/>
        <v>0.99997576143189337</v>
      </c>
      <c r="AT14" s="373">
        <f t="shared" si="32"/>
        <v>0.99997576143189337</v>
      </c>
      <c r="AU14" s="374">
        <f t="shared" si="33"/>
        <v>0.99997576143189337</v>
      </c>
      <c r="AV14" s="417">
        <f>AVERAGE('Cuadro Mando Integral Detallado'!AI163:AI165,'Cuadro Mando Integral Detallado'!AI221:AI222)</f>
        <v>0.99994182123217501</v>
      </c>
      <c r="AW14" s="382">
        <f t="shared" si="34"/>
        <v>0.99994182123217501</v>
      </c>
      <c r="AX14" s="377">
        <f t="shared" si="35"/>
        <v>0.99994182123217501</v>
      </c>
      <c r="AY14" s="377">
        <f t="shared" si="36"/>
        <v>0.99994182123217501</v>
      </c>
      <c r="AZ14" s="377">
        <f t="shared" si="37"/>
        <v>0.99994182123217501</v>
      </c>
      <c r="BA14" s="378">
        <f t="shared" si="38"/>
        <v>0.99994182123217501</v>
      </c>
    </row>
    <row r="15" spans="1:53" ht="18.75" thickBot="1" x14ac:dyDescent="0.3">
      <c r="A15" s="415" t="s">
        <v>1198</v>
      </c>
      <c r="B15" s="352"/>
      <c r="C15" s="418">
        <f>AVERAGE('Cuadro Mando Integral Detallado'!L172:L207,'Cuadro Mando Integral Detallado'!L238:L307,'Cuadro Mando Integral Detallado'!L309:L363)</f>
        <v>0.83268905377339797</v>
      </c>
      <c r="D15" s="503">
        <f t="shared" si="0"/>
        <v>0.83268905377339797</v>
      </c>
      <c r="E15" s="504">
        <f t="shared" si="1"/>
        <v>0.83268905377339797</v>
      </c>
      <c r="F15" s="504">
        <f t="shared" si="2"/>
        <v>0.83268905377339797</v>
      </c>
      <c r="G15" s="386">
        <f t="shared" si="3"/>
        <v>0.83268905377339797</v>
      </c>
      <c r="H15" s="505">
        <f t="shared" si="4"/>
        <v>0.83268905377339797</v>
      </c>
      <c r="I15" s="418">
        <f>AVERAGE('Cuadro Mando Integral Detallado'!O172:O207,'Cuadro Mando Integral Detallado'!O238:O307,'Cuadro Mando Integral Detallado'!O309:O363)</f>
        <v>0.42485850411378251</v>
      </c>
      <c r="J15" s="389">
        <f t="shared" si="5"/>
        <v>0.42485850411378251</v>
      </c>
      <c r="K15" s="390">
        <f t="shared" si="6"/>
        <v>0.42485850411378251</v>
      </c>
      <c r="L15" s="390">
        <f t="shared" si="7"/>
        <v>0.42485850411378251</v>
      </c>
      <c r="M15" s="390">
        <f t="shared" si="8"/>
        <v>0.42485850411378251</v>
      </c>
      <c r="N15" s="391">
        <f t="shared" si="9"/>
        <v>0.42485850411378251</v>
      </c>
      <c r="O15" s="11"/>
      <c r="P15" s="418">
        <f>AVERAGE('Cuadro Mando Integral Detallado'!S172:S207,'Cuadro Mando Integral Detallado'!S238:S307,'Cuadro Mando Integral Detallado'!S309:S363)</f>
        <v>0.89305849396162695</v>
      </c>
      <c r="Q15" s="395">
        <f t="shared" si="10"/>
        <v>0.89305849396162695</v>
      </c>
      <c r="R15" s="386">
        <f t="shared" si="11"/>
        <v>0.89305849396162695</v>
      </c>
      <c r="S15" s="386">
        <f t="shared" si="12"/>
        <v>0.89305849396162695</v>
      </c>
      <c r="T15" s="386">
        <f t="shared" si="13"/>
        <v>0.89305849396162695</v>
      </c>
      <c r="U15" s="387">
        <f t="shared" si="14"/>
        <v>0.89305849396162695</v>
      </c>
      <c r="V15" s="418">
        <f>AVERAGE('Cuadro Mando Integral Detallado'!V172:V207,'Cuadro Mando Integral Detallado'!V238:V307,'Cuadro Mando Integral Detallado'!V309:V363)</f>
        <v>0.5240197965325043</v>
      </c>
      <c r="W15" s="389">
        <f t="shared" si="15"/>
        <v>0.5240197965325043</v>
      </c>
      <c r="X15" s="390">
        <f t="shared" si="16"/>
        <v>0.5240197965325043</v>
      </c>
      <c r="Y15" s="390">
        <f t="shared" si="17"/>
        <v>0.5240197965325043</v>
      </c>
      <c r="Z15" s="390">
        <f>+V15</f>
        <v>0.5240197965325043</v>
      </c>
      <c r="AA15" s="391">
        <f t="shared" si="18"/>
        <v>0.5240197965325043</v>
      </c>
      <c r="AB15" s="409"/>
      <c r="AC15" s="418">
        <f>AVERAGE('Cuadro Mando Integral Detallado'!Z172:Z206,'Cuadro Mando Integral Detallado'!Z238:Z307,'Cuadro Mando Integral Detallado'!Z309:Z363)</f>
        <v>0.76842995723603846</v>
      </c>
      <c r="AD15" s="395">
        <f t="shared" si="19"/>
        <v>0.76842995723603846</v>
      </c>
      <c r="AE15" s="386">
        <f t="shared" si="20"/>
        <v>0.76842995723603846</v>
      </c>
      <c r="AF15" s="386">
        <f t="shared" si="21"/>
        <v>0.76842995723603846</v>
      </c>
      <c r="AG15" s="386">
        <f>+AB15</f>
        <v>0</v>
      </c>
      <c r="AH15" s="387">
        <f t="shared" si="23"/>
        <v>0.76842995723603846</v>
      </c>
      <c r="AI15" s="418">
        <f>AVERAGE('Cuadro Mando Integral Detallado'!AC172:AC206,'Cuadro Mando Integral Detallado'!AC238:AC307,'Cuadro Mando Integral Detallado'!AC309:AC363)</f>
        <v>0.69386390864649039</v>
      </c>
      <c r="AJ15" s="395">
        <f t="shared" si="24"/>
        <v>0.69386390864649039</v>
      </c>
      <c r="AK15" s="390">
        <f t="shared" si="25"/>
        <v>0.69386390864649039</v>
      </c>
      <c r="AL15" s="390">
        <f t="shared" si="26"/>
        <v>0.69386390864649039</v>
      </c>
      <c r="AM15" s="390">
        <f t="shared" si="27"/>
        <v>0.69386390864649039</v>
      </c>
      <c r="AN15" s="391">
        <f t="shared" si="28"/>
        <v>0.69386390864649039</v>
      </c>
      <c r="AO15" s="409"/>
      <c r="AP15" s="418">
        <f>AVERAGE('Cuadro Mando Integral Detallado'!AG172:AG206,'Cuadro Mando Integral Detallado'!AG238:AG307,'Cuadro Mando Integral Detallado'!AG309:AG363)</f>
        <v>0.84538860708965757</v>
      </c>
      <c r="AQ15" s="395">
        <f t="shared" si="29"/>
        <v>0.84538860708965757</v>
      </c>
      <c r="AR15" s="386">
        <f t="shared" si="30"/>
        <v>0.84538860708965757</v>
      </c>
      <c r="AS15" s="386">
        <f t="shared" si="31"/>
        <v>0.84538860708965757</v>
      </c>
      <c r="AT15" s="386">
        <f t="shared" si="32"/>
        <v>0.84538860708965757</v>
      </c>
      <c r="AU15" s="387">
        <f t="shared" si="33"/>
        <v>0.84538860708965757</v>
      </c>
      <c r="AV15" s="418">
        <f>AVERAGE('Cuadro Mando Integral Detallado'!AI172:AI206,'Cuadro Mando Integral Detallado'!AI238:AI307,'Cuadro Mando Integral Detallado'!AI309:AI363)</f>
        <v>0.8632580300060686</v>
      </c>
      <c r="AW15" s="395">
        <f t="shared" si="34"/>
        <v>0.8632580300060686</v>
      </c>
      <c r="AX15" s="390">
        <f t="shared" si="35"/>
        <v>0.8632580300060686</v>
      </c>
      <c r="AY15" s="390">
        <f t="shared" si="36"/>
        <v>0.8632580300060686</v>
      </c>
      <c r="AZ15" s="390">
        <f t="shared" si="37"/>
        <v>0.8632580300060686</v>
      </c>
      <c r="BA15" s="391">
        <f t="shared" si="38"/>
        <v>0.8632580300060686</v>
      </c>
    </row>
  </sheetData>
  <sheetProtection algorithmName="SHA-512" hashValue="UYVMuLvsJA72rBa9xGl5hNRiqEMlya2LVhDtWq92dYUDVTP99+vYGm6VVEc2ZRqZ/K/FJ0kdcBGj4o0WCwz+cg==" saltValue="p34pPzeuuA5GeXOl/B6pmQ=="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872" priority="261" stopIfTrue="1" operator="between">
      <formula>0</formula>
      <formula>0.5</formula>
    </cfRule>
  </conditionalFormatting>
  <conditionalFormatting sqref="R6">
    <cfRule type="cellIs" dxfId="871" priority="260" operator="between">
      <formula>0.51</formula>
      <formula>0.75</formula>
    </cfRule>
  </conditionalFormatting>
  <conditionalFormatting sqref="S6">
    <cfRule type="cellIs" dxfId="870" priority="259" operator="between">
      <formula>0.76</formula>
      <formula>0.95</formula>
    </cfRule>
  </conditionalFormatting>
  <conditionalFormatting sqref="T6">
    <cfRule type="cellIs" dxfId="869" priority="258" operator="between">
      <formula>0.95</formula>
      <formula>1</formula>
    </cfRule>
  </conditionalFormatting>
  <conditionalFormatting sqref="U6">
    <cfRule type="cellIs" dxfId="868" priority="257" operator="greaterThan">
      <formula>1</formula>
    </cfRule>
  </conditionalFormatting>
  <conditionalFormatting sqref="Q7">
    <cfRule type="cellIs" dxfId="867" priority="256" stopIfTrue="1" operator="between">
      <formula>0</formula>
      <formula>0.5</formula>
    </cfRule>
  </conditionalFormatting>
  <conditionalFormatting sqref="R7">
    <cfRule type="cellIs" dxfId="866" priority="255" operator="between">
      <formula>0.51</formula>
      <formula>0.75</formula>
    </cfRule>
  </conditionalFormatting>
  <conditionalFormatting sqref="S7">
    <cfRule type="cellIs" dxfId="865" priority="254" operator="between">
      <formula>0.76</formula>
      <formula>0.95</formula>
    </cfRule>
  </conditionalFormatting>
  <conditionalFormatting sqref="T7">
    <cfRule type="cellIs" dxfId="864" priority="253" operator="between">
      <formula>0.95</formula>
      <formula>1</formula>
    </cfRule>
  </conditionalFormatting>
  <conditionalFormatting sqref="U7">
    <cfRule type="cellIs" dxfId="863" priority="252" operator="greaterThan">
      <formula>1</formula>
    </cfRule>
  </conditionalFormatting>
  <conditionalFormatting sqref="Q8:Q10">
    <cfRule type="cellIs" dxfId="862" priority="251" stopIfTrue="1" operator="between">
      <formula>0</formula>
      <formula>0.5</formula>
    </cfRule>
  </conditionalFormatting>
  <conditionalFormatting sqref="R8:R10">
    <cfRule type="cellIs" dxfId="861" priority="250" operator="between">
      <formula>0.51</formula>
      <formula>0.75</formula>
    </cfRule>
  </conditionalFormatting>
  <conditionalFormatting sqref="S8:S10">
    <cfRule type="cellIs" dxfId="860" priority="249" operator="between">
      <formula>0.76</formula>
      <formula>0.95</formula>
    </cfRule>
  </conditionalFormatting>
  <conditionalFormatting sqref="T8:T9">
    <cfRule type="cellIs" dxfId="859" priority="248" operator="between">
      <formula>0.95</formula>
      <formula>1</formula>
    </cfRule>
  </conditionalFormatting>
  <conditionalFormatting sqref="U8:U10">
    <cfRule type="cellIs" dxfId="858" priority="247" operator="greaterThan">
      <formula>1</formula>
    </cfRule>
  </conditionalFormatting>
  <conditionalFormatting sqref="Q13">
    <cfRule type="cellIs" dxfId="857" priority="246" stopIfTrue="1" operator="between">
      <formula>0</formula>
      <formula>0.5</formula>
    </cfRule>
  </conditionalFormatting>
  <conditionalFormatting sqref="R13">
    <cfRule type="cellIs" dxfId="856" priority="245" operator="between">
      <formula>0.51</formula>
      <formula>0.75</formula>
    </cfRule>
  </conditionalFormatting>
  <conditionalFormatting sqref="S13">
    <cfRule type="cellIs" dxfId="855" priority="244" operator="between">
      <formula>0.76</formula>
      <formula>0.95</formula>
    </cfRule>
  </conditionalFormatting>
  <conditionalFormatting sqref="T13">
    <cfRule type="cellIs" dxfId="854" priority="243" operator="between">
      <formula>0.95</formula>
      <formula>1</formula>
    </cfRule>
  </conditionalFormatting>
  <conditionalFormatting sqref="U13">
    <cfRule type="cellIs" dxfId="853" priority="242" operator="greaterThan">
      <formula>1</formula>
    </cfRule>
  </conditionalFormatting>
  <conditionalFormatting sqref="Q14">
    <cfRule type="cellIs" dxfId="852" priority="241" stopIfTrue="1" operator="between">
      <formula>0</formula>
      <formula>0.5</formula>
    </cfRule>
  </conditionalFormatting>
  <conditionalFormatting sqref="R14">
    <cfRule type="cellIs" dxfId="851" priority="240" operator="between">
      <formula>0.51</formula>
      <formula>0.75</formula>
    </cfRule>
  </conditionalFormatting>
  <conditionalFormatting sqref="S14">
    <cfRule type="cellIs" dxfId="850" priority="239" operator="between">
      <formula>0.76</formula>
      <formula>0.95</formula>
    </cfRule>
  </conditionalFormatting>
  <conditionalFormatting sqref="T14">
    <cfRule type="cellIs" dxfId="849" priority="238" operator="between">
      <formula>0.95</formula>
      <formula>1</formula>
    </cfRule>
  </conditionalFormatting>
  <conditionalFormatting sqref="U14">
    <cfRule type="cellIs" dxfId="848" priority="237" operator="greaterThan">
      <formula>1</formula>
    </cfRule>
  </conditionalFormatting>
  <conditionalFormatting sqref="Q15">
    <cfRule type="cellIs" dxfId="847" priority="236" stopIfTrue="1" operator="between">
      <formula>0</formula>
      <formula>0.5</formula>
    </cfRule>
  </conditionalFormatting>
  <conditionalFormatting sqref="R15">
    <cfRule type="cellIs" dxfId="846" priority="235" operator="between">
      <formula>0.51</formula>
      <formula>0.75</formula>
    </cfRule>
  </conditionalFormatting>
  <conditionalFormatting sqref="S15">
    <cfRule type="cellIs" dxfId="845" priority="234" operator="between">
      <formula>0.76</formula>
      <formula>0.95</formula>
    </cfRule>
  </conditionalFormatting>
  <conditionalFormatting sqref="T15">
    <cfRule type="cellIs" dxfId="844" priority="233" operator="between">
      <formula>0.95</formula>
      <formula>1</formula>
    </cfRule>
  </conditionalFormatting>
  <conditionalFormatting sqref="U15">
    <cfRule type="cellIs" dxfId="843" priority="232" operator="greaterThan">
      <formula>1</formula>
    </cfRule>
  </conditionalFormatting>
  <conditionalFormatting sqref="W6">
    <cfRule type="cellIs" dxfId="842" priority="231" stopIfTrue="1" operator="between">
      <formula>0</formula>
      <formula>0.255</formula>
    </cfRule>
  </conditionalFormatting>
  <conditionalFormatting sqref="X6">
    <cfRule type="cellIs" dxfId="841" priority="230" operator="between">
      <formula>0.2551</formula>
      <formula>0.375</formula>
    </cfRule>
  </conditionalFormatting>
  <conditionalFormatting sqref="Y6">
    <cfRule type="cellIs" dxfId="840" priority="229" operator="between">
      <formula>0.38</formula>
      <formula>0.475</formula>
    </cfRule>
  </conditionalFormatting>
  <conditionalFormatting sqref="Z6">
    <cfRule type="cellIs" dxfId="839" priority="228" operator="between">
      <formula>0.4751</formula>
      <formula>0.51</formula>
    </cfRule>
  </conditionalFormatting>
  <conditionalFormatting sqref="AA6">
    <cfRule type="cellIs" dxfId="838" priority="227" operator="greaterThan">
      <formula>0.505</formula>
    </cfRule>
  </conditionalFormatting>
  <conditionalFormatting sqref="W7">
    <cfRule type="cellIs" dxfId="837" priority="226" stopIfTrue="1" operator="between">
      <formula>0</formula>
      <formula>0.255</formula>
    </cfRule>
  </conditionalFormatting>
  <conditionalFormatting sqref="X7">
    <cfRule type="cellIs" dxfId="836" priority="225" operator="between">
      <formula>0.2551</formula>
      <formula>0.375</formula>
    </cfRule>
  </conditionalFormatting>
  <conditionalFormatting sqref="Y7">
    <cfRule type="cellIs" dxfId="835" priority="224" operator="between">
      <formula>0.38</formula>
      <formula>0.475</formula>
    </cfRule>
  </conditionalFormatting>
  <conditionalFormatting sqref="Z7">
    <cfRule type="cellIs" dxfId="834" priority="223" operator="between">
      <formula>0.48</formula>
      <formula>0.51</formula>
    </cfRule>
  </conditionalFormatting>
  <conditionalFormatting sqref="AA7">
    <cfRule type="cellIs" dxfId="833" priority="222" operator="greaterThan">
      <formula>0.505</formula>
    </cfRule>
  </conditionalFormatting>
  <conditionalFormatting sqref="W8:W10">
    <cfRule type="cellIs" dxfId="832" priority="221" stopIfTrue="1" operator="between">
      <formula>0</formula>
      <formula>0.255</formula>
    </cfRule>
  </conditionalFormatting>
  <conditionalFormatting sqref="X8:X10">
    <cfRule type="cellIs" dxfId="831" priority="220" operator="between">
      <formula>0.2551</formula>
      <formula>0.375</formula>
    </cfRule>
  </conditionalFormatting>
  <conditionalFormatting sqref="Y8:Y10">
    <cfRule type="cellIs" dxfId="830" priority="219" operator="between">
      <formula>0.38</formula>
      <formula>0.475</formula>
    </cfRule>
  </conditionalFormatting>
  <conditionalFormatting sqref="Z8:Z10">
    <cfRule type="cellIs" dxfId="829" priority="218" operator="between">
      <formula>0.48</formula>
      <formula>0.51</formula>
    </cfRule>
  </conditionalFormatting>
  <conditionalFormatting sqref="AA8:AA10">
    <cfRule type="cellIs" dxfId="828" priority="217" operator="greaterThan">
      <formula>0.505</formula>
    </cfRule>
  </conditionalFormatting>
  <conditionalFormatting sqref="W13">
    <cfRule type="cellIs" dxfId="827" priority="216" stopIfTrue="1" operator="between">
      <formula>0</formula>
      <formula>0.255</formula>
    </cfRule>
  </conditionalFormatting>
  <conditionalFormatting sqref="X13">
    <cfRule type="cellIs" dxfId="826" priority="215" operator="between">
      <formula>0.2551</formula>
      <formula>0.375</formula>
    </cfRule>
  </conditionalFormatting>
  <conditionalFormatting sqref="Y13">
    <cfRule type="cellIs" dxfId="825" priority="214" operator="between">
      <formula>0.38</formula>
      <formula>0.475</formula>
    </cfRule>
  </conditionalFormatting>
  <conditionalFormatting sqref="Z13">
    <cfRule type="cellIs" dxfId="824" priority="213" operator="between">
      <formula>0.48</formula>
      <formula>0.51</formula>
    </cfRule>
  </conditionalFormatting>
  <conditionalFormatting sqref="AA13">
    <cfRule type="cellIs" dxfId="823" priority="212" operator="greaterThan">
      <formula>0.505</formula>
    </cfRule>
  </conditionalFormatting>
  <conditionalFormatting sqref="W14">
    <cfRule type="cellIs" dxfId="822" priority="211" stopIfTrue="1" operator="between">
      <formula>0</formula>
      <formula>0.255</formula>
    </cfRule>
  </conditionalFormatting>
  <conditionalFormatting sqref="X14">
    <cfRule type="cellIs" dxfId="821" priority="210" operator="between">
      <formula>0.2551</formula>
      <formula>0.375</formula>
    </cfRule>
  </conditionalFormatting>
  <conditionalFormatting sqref="Y14">
    <cfRule type="cellIs" dxfId="820" priority="209" operator="between">
      <formula>0.38</formula>
      <formula>0.475</formula>
    </cfRule>
  </conditionalFormatting>
  <conditionalFormatting sqref="Z14">
    <cfRule type="cellIs" dxfId="819" priority="208" operator="between">
      <formula>0.48</formula>
      <formula>0.51</formula>
    </cfRule>
  </conditionalFormatting>
  <conditionalFormatting sqref="AA14">
    <cfRule type="cellIs" dxfId="818" priority="207" operator="greaterThan">
      <formula>0.505</formula>
    </cfRule>
  </conditionalFormatting>
  <conditionalFormatting sqref="W15">
    <cfRule type="cellIs" dxfId="817" priority="206" stopIfTrue="1" operator="between">
      <formula>0</formula>
      <formula>0.255</formula>
    </cfRule>
  </conditionalFormatting>
  <conditionalFormatting sqref="X15">
    <cfRule type="cellIs" dxfId="816" priority="205" operator="between">
      <formula>0.2551</formula>
      <formula>0.375</formula>
    </cfRule>
  </conditionalFormatting>
  <conditionalFormatting sqref="Y15">
    <cfRule type="cellIs" dxfId="815" priority="204" operator="between">
      <formula>0.38</formula>
      <formula>0.475</formula>
    </cfRule>
  </conditionalFormatting>
  <conditionalFormatting sqref="Z15">
    <cfRule type="cellIs" dxfId="814" priority="203" operator="between">
      <formula>0.48</formula>
      <formula>0.51</formula>
    </cfRule>
  </conditionalFormatting>
  <conditionalFormatting sqref="AA15">
    <cfRule type="cellIs" dxfId="813" priority="202" operator="greaterThan">
      <formula>0.505</formula>
    </cfRule>
  </conditionalFormatting>
  <conditionalFormatting sqref="AD6">
    <cfRule type="cellIs" dxfId="812" priority="201" stopIfTrue="1" operator="between">
      <formula>0</formula>
      <formula>0.5</formula>
    </cfRule>
  </conditionalFormatting>
  <conditionalFormatting sqref="AE6">
    <cfRule type="cellIs" dxfId="811" priority="200" operator="between">
      <formula>0.51</formula>
      <formula>0.75</formula>
    </cfRule>
  </conditionalFormatting>
  <conditionalFormatting sqref="AF6">
    <cfRule type="cellIs" dxfId="810" priority="199" operator="between">
      <formula>0.76</formula>
      <formula>0.95</formula>
    </cfRule>
  </conditionalFormatting>
  <conditionalFormatting sqref="AG6">
    <cfRule type="cellIs" dxfId="809" priority="198" operator="between">
      <formula>0.95</formula>
      <formula>1</formula>
    </cfRule>
  </conditionalFormatting>
  <conditionalFormatting sqref="AH6">
    <cfRule type="cellIs" dxfId="808" priority="197" operator="greaterThan">
      <formula>1</formula>
    </cfRule>
  </conditionalFormatting>
  <conditionalFormatting sqref="AD7">
    <cfRule type="cellIs" dxfId="807" priority="196" stopIfTrue="1" operator="between">
      <formula>0</formula>
      <formula>0.5</formula>
    </cfRule>
  </conditionalFormatting>
  <conditionalFormatting sqref="AE7">
    <cfRule type="cellIs" dxfId="806" priority="195" operator="between">
      <formula>0.51</formula>
      <formula>0.75</formula>
    </cfRule>
  </conditionalFormatting>
  <conditionalFormatting sqref="AF7">
    <cfRule type="cellIs" dxfId="805" priority="194" operator="between">
      <formula>0.76</formula>
      <formula>0.95</formula>
    </cfRule>
  </conditionalFormatting>
  <conditionalFormatting sqref="AG7">
    <cfRule type="cellIs" dxfId="804" priority="193" operator="between">
      <formula>0.95</formula>
      <formula>1</formula>
    </cfRule>
  </conditionalFormatting>
  <conditionalFormatting sqref="AH7">
    <cfRule type="cellIs" dxfId="803" priority="192" operator="greaterThan">
      <formula>1</formula>
    </cfRule>
  </conditionalFormatting>
  <conditionalFormatting sqref="AD8:AD10">
    <cfRule type="cellIs" dxfId="802" priority="191" stopIfTrue="1" operator="between">
      <formula>0</formula>
      <formula>0.5</formula>
    </cfRule>
  </conditionalFormatting>
  <conditionalFormatting sqref="AE8:AE10">
    <cfRule type="cellIs" dxfId="801" priority="190" operator="between">
      <formula>0.51</formula>
      <formula>0.75</formula>
    </cfRule>
  </conditionalFormatting>
  <conditionalFormatting sqref="AF8:AF10">
    <cfRule type="cellIs" dxfId="800" priority="189" operator="between">
      <formula>0.76</formula>
      <formula>0.95</formula>
    </cfRule>
  </conditionalFormatting>
  <conditionalFormatting sqref="AG8:AG10">
    <cfRule type="cellIs" dxfId="799" priority="188" operator="between">
      <formula>0.95</formula>
      <formula>1</formula>
    </cfRule>
  </conditionalFormatting>
  <conditionalFormatting sqref="AH8:AH10">
    <cfRule type="cellIs" dxfId="798" priority="187" operator="greaterThan">
      <formula>1</formula>
    </cfRule>
  </conditionalFormatting>
  <conditionalFormatting sqref="AD13">
    <cfRule type="cellIs" dxfId="797" priority="186" stopIfTrue="1" operator="between">
      <formula>0</formula>
      <formula>0.5</formula>
    </cfRule>
  </conditionalFormatting>
  <conditionalFormatting sqref="AE13">
    <cfRule type="cellIs" dxfId="796" priority="185" operator="between">
      <formula>0.51</formula>
      <formula>0.75</formula>
    </cfRule>
  </conditionalFormatting>
  <conditionalFormatting sqref="AF13">
    <cfRule type="cellIs" dxfId="795" priority="184" operator="between">
      <formula>0.76</formula>
      <formula>0.95</formula>
    </cfRule>
  </conditionalFormatting>
  <conditionalFormatting sqref="AG13">
    <cfRule type="cellIs" dxfId="794" priority="183" operator="between">
      <formula>0.95</formula>
      <formula>1</formula>
    </cfRule>
  </conditionalFormatting>
  <conditionalFormatting sqref="AH13">
    <cfRule type="cellIs" dxfId="793" priority="182" operator="greaterThan">
      <formula>1</formula>
    </cfRule>
  </conditionalFormatting>
  <conditionalFormatting sqref="AD14">
    <cfRule type="cellIs" dxfId="792" priority="181" stopIfTrue="1" operator="between">
      <formula>0</formula>
      <formula>0.5</formula>
    </cfRule>
  </conditionalFormatting>
  <conditionalFormatting sqref="AE14">
    <cfRule type="cellIs" dxfId="791" priority="180" operator="between">
      <formula>0.51</formula>
      <formula>0.75</formula>
    </cfRule>
  </conditionalFormatting>
  <conditionalFormatting sqref="AF14">
    <cfRule type="cellIs" dxfId="790" priority="179" operator="between">
      <formula>0.76</formula>
      <formula>0.95</formula>
    </cfRule>
  </conditionalFormatting>
  <conditionalFormatting sqref="AG14">
    <cfRule type="cellIs" dxfId="789" priority="178" operator="between">
      <formula>0.95</formula>
      <formula>1</formula>
    </cfRule>
  </conditionalFormatting>
  <conditionalFormatting sqref="AH14">
    <cfRule type="cellIs" dxfId="788" priority="177" operator="greaterThan">
      <formula>1</formula>
    </cfRule>
  </conditionalFormatting>
  <conditionalFormatting sqref="AD15">
    <cfRule type="cellIs" dxfId="787" priority="176" stopIfTrue="1" operator="between">
      <formula>0</formula>
      <formula>0.5</formula>
    </cfRule>
  </conditionalFormatting>
  <conditionalFormatting sqref="AE15">
    <cfRule type="cellIs" dxfId="786" priority="175" operator="between">
      <formula>0.51</formula>
      <formula>0.75</formula>
    </cfRule>
  </conditionalFormatting>
  <conditionalFormatting sqref="AF15">
    <cfRule type="cellIs" dxfId="785" priority="174" operator="between">
      <formula>0.76</formula>
      <formula>0.95</formula>
    </cfRule>
  </conditionalFormatting>
  <conditionalFormatting sqref="AG15">
    <cfRule type="cellIs" dxfId="784" priority="173" operator="between">
      <formula>0.95</formula>
      <formula>1</formula>
    </cfRule>
  </conditionalFormatting>
  <conditionalFormatting sqref="AH15">
    <cfRule type="cellIs" dxfId="783" priority="172" operator="greaterThan">
      <formula>1</formula>
    </cfRule>
  </conditionalFormatting>
  <conditionalFormatting sqref="AJ6">
    <cfRule type="cellIs" dxfId="782" priority="171" stopIfTrue="1" operator="between">
      <formula>0</formula>
      <formula>0.375</formula>
    </cfRule>
  </conditionalFormatting>
  <conditionalFormatting sqref="AK6">
    <cfRule type="cellIs" dxfId="781" priority="170" operator="between">
      <formula>0.3751</formula>
      <formula>0.5625</formula>
    </cfRule>
  </conditionalFormatting>
  <conditionalFormatting sqref="AL6">
    <cfRule type="cellIs" dxfId="780" priority="169" operator="between">
      <formula>0.563</formula>
      <formula>0.7125</formula>
    </cfRule>
  </conditionalFormatting>
  <conditionalFormatting sqref="AM6">
    <cfRule type="cellIs" dxfId="779" priority="168" operator="between">
      <formula>0.713</formula>
      <formula>0.75</formula>
    </cfRule>
  </conditionalFormatting>
  <conditionalFormatting sqref="AN6">
    <cfRule type="cellIs" dxfId="778" priority="167" operator="greaterThan">
      <formula>0.755</formula>
    </cfRule>
  </conditionalFormatting>
  <conditionalFormatting sqref="AJ7">
    <cfRule type="cellIs" dxfId="777" priority="166" stopIfTrue="1" operator="between">
      <formula>0</formula>
      <formula>0.375</formula>
    </cfRule>
  </conditionalFormatting>
  <conditionalFormatting sqref="AK7">
    <cfRule type="cellIs" dxfId="776" priority="165" operator="between">
      <formula>0.3751</formula>
      <formula>0.5625</formula>
    </cfRule>
  </conditionalFormatting>
  <conditionalFormatting sqref="AL7">
    <cfRule type="cellIs" dxfId="775" priority="164" operator="between">
      <formula>0.563</formula>
      <formula>0.7125</formula>
    </cfRule>
  </conditionalFormatting>
  <conditionalFormatting sqref="AM7">
    <cfRule type="cellIs" dxfId="774" priority="163" operator="between">
      <formula>0.713</formula>
      <formula>0.75</formula>
    </cfRule>
  </conditionalFormatting>
  <conditionalFormatting sqref="AN7">
    <cfRule type="cellIs" dxfId="773" priority="162" operator="greaterThan">
      <formula>0.755</formula>
    </cfRule>
  </conditionalFormatting>
  <conditionalFormatting sqref="AJ8:AJ10">
    <cfRule type="cellIs" dxfId="772" priority="161" stopIfTrue="1" operator="between">
      <formula>0</formula>
      <formula>0.375</formula>
    </cfRule>
  </conditionalFormatting>
  <conditionalFormatting sqref="AK8:AK10">
    <cfRule type="cellIs" dxfId="771" priority="160" operator="between">
      <formula>0.3751</formula>
      <formula>0.5625</formula>
    </cfRule>
  </conditionalFormatting>
  <conditionalFormatting sqref="AL8:AL10">
    <cfRule type="cellIs" dxfId="770" priority="159" operator="between">
      <formula>0.563</formula>
      <formula>0.7125</formula>
    </cfRule>
  </conditionalFormatting>
  <conditionalFormatting sqref="AM8:AM10">
    <cfRule type="cellIs" dxfId="769" priority="158" operator="between">
      <formula>0.713</formula>
      <formula>0.75</formula>
    </cfRule>
  </conditionalFormatting>
  <conditionalFormatting sqref="AN8:AN10">
    <cfRule type="cellIs" dxfId="768" priority="157" operator="greaterThan">
      <formula>0.755</formula>
    </cfRule>
  </conditionalFormatting>
  <conditionalFormatting sqref="AJ13">
    <cfRule type="cellIs" dxfId="767" priority="156" stopIfTrue="1" operator="between">
      <formula>0</formula>
      <formula>0.375</formula>
    </cfRule>
  </conditionalFormatting>
  <conditionalFormatting sqref="AK13">
    <cfRule type="cellIs" dxfId="766" priority="155" operator="between">
      <formula>0.3751</formula>
      <formula>0.5625</formula>
    </cfRule>
  </conditionalFormatting>
  <conditionalFormatting sqref="AL13">
    <cfRule type="cellIs" dxfId="765" priority="154" operator="between">
      <formula>0.563</formula>
      <formula>0.7125</formula>
    </cfRule>
  </conditionalFormatting>
  <conditionalFormatting sqref="AM13">
    <cfRule type="cellIs" dxfId="764" priority="153" operator="between">
      <formula>0.713</formula>
      <formula>0.75</formula>
    </cfRule>
  </conditionalFormatting>
  <conditionalFormatting sqref="AN13">
    <cfRule type="cellIs" dxfId="763" priority="152" operator="greaterThan">
      <formula>0.755</formula>
    </cfRule>
  </conditionalFormatting>
  <conditionalFormatting sqref="AJ14">
    <cfRule type="cellIs" dxfId="762" priority="151" stopIfTrue="1" operator="between">
      <formula>0</formula>
      <formula>0.375</formula>
    </cfRule>
  </conditionalFormatting>
  <conditionalFormatting sqref="AK14">
    <cfRule type="cellIs" dxfId="761" priority="150" operator="between">
      <formula>0.3751</formula>
      <formula>0.5625</formula>
    </cfRule>
  </conditionalFormatting>
  <conditionalFormatting sqref="AL14">
    <cfRule type="cellIs" dxfId="760" priority="149" operator="between">
      <formula>0.563</formula>
      <formula>0.7125</formula>
    </cfRule>
  </conditionalFormatting>
  <conditionalFormatting sqref="AM14">
    <cfRule type="cellIs" dxfId="759" priority="148" operator="between">
      <formula>0.713</formula>
      <formula>0.75</formula>
    </cfRule>
  </conditionalFormatting>
  <conditionalFormatting sqref="AN14">
    <cfRule type="cellIs" dxfId="758" priority="147" operator="greaterThan">
      <formula>0.755</formula>
    </cfRule>
  </conditionalFormatting>
  <conditionalFormatting sqref="AJ15">
    <cfRule type="cellIs" dxfId="757" priority="146" stopIfTrue="1" operator="between">
      <formula>0</formula>
      <formula>0.375</formula>
    </cfRule>
  </conditionalFormatting>
  <conditionalFormatting sqref="AK15">
    <cfRule type="cellIs" dxfId="756" priority="145" operator="between">
      <formula>0.3751</formula>
      <formula>0.5625</formula>
    </cfRule>
  </conditionalFormatting>
  <conditionalFormatting sqref="AL15">
    <cfRule type="cellIs" dxfId="755" priority="144" operator="between">
      <formula>0.563</formula>
      <formula>0.7125</formula>
    </cfRule>
  </conditionalFormatting>
  <conditionalFormatting sqref="AM15">
    <cfRule type="cellIs" dxfId="754" priority="143" operator="between">
      <formula>0.713</formula>
      <formula>0.75</formula>
    </cfRule>
  </conditionalFormatting>
  <conditionalFormatting sqref="AN15">
    <cfRule type="cellIs" dxfId="753" priority="142" operator="greaterThan">
      <formula>0.755</formula>
    </cfRule>
  </conditionalFormatting>
  <conditionalFormatting sqref="AQ6">
    <cfRule type="cellIs" dxfId="752" priority="141" stopIfTrue="1" operator="between">
      <formula>0</formula>
      <formula>0.5</formula>
    </cfRule>
  </conditionalFormatting>
  <conditionalFormatting sqref="AR6">
    <cfRule type="cellIs" dxfId="751" priority="140" operator="between">
      <formula>0.51</formula>
      <formula>0.75</formula>
    </cfRule>
  </conditionalFormatting>
  <conditionalFormatting sqref="AS6">
    <cfRule type="cellIs" dxfId="750" priority="139" operator="between">
      <formula>0.76</formula>
      <formula>0.95</formula>
    </cfRule>
  </conditionalFormatting>
  <conditionalFormatting sqref="AT6">
    <cfRule type="cellIs" dxfId="749" priority="138" operator="between">
      <formula>0.95</formula>
      <formula>1</formula>
    </cfRule>
  </conditionalFormatting>
  <conditionalFormatting sqref="AU6">
    <cfRule type="cellIs" dxfId="748" priority="137" operator="greaterThan">
      <formula>1</formula>
    </cfRule>
  </conditionalFormatting>
  <conditionalFormatting sqref="AQ7">
    <cfRule type="cellIs" dxfId="747" priority="136" stopIfTrue="1" operator="between">
      <formula>0</formula>
      <formula>0.5</formula>
    </cfRule>
  </conditionalFormatting>
  <conditionalFormatting sqref="AR7">
    <cfRule type="cellIs" dxfId="746" priority="135" operator="between">
      <formula>0.51</formula>
      <formula>0.75</formula>
    </cfRule>
  </conditionalFormatting>
  <conditionalFormatting sqref="AS7">
    <cfRule type="cellIs" dxfId="745" priority="134" operator="between">
      <formula>0.76</formula>
      <formula>0.95</formula>
    </cfRule>
  </conditionalFormatting>
  <conditionalFormatting sqref="AT7">
    <cfRule type="cellIs" dxfId="744" priority="133" operator="between">
      <formula>0.95</formula>
      <formula>1</formula>
    </cfRule>
  </conditionalFormatting>
  <conditionalFormatting sqref="AU7">
    <cfRule type="cellIs" dxfId="743" priority="132" operator="greaterThan">
      <formula>1</formula>
    </cfRule>
  </conditionalFormatting>
  <conditionalFormatting sqref="AQ8:AQ10">
    <cfRule type="cellIs" dxfId="742" priority="131" stopIfTrue="1" operator="between">
      <formula>0</formula>
      <formula>0.5</formula>
    </cfRule>
  </conditionalFormatting>
  <conditionalFormatting sqref="AR8:AR10">
    <cfRule type="cellIs" dxfId="741" priority="130" operator="between">
      <formula>0.51</formula>
      <formula>0.75</formula>
    </cfRule>
  </conditionalFormatting>
  <conditionalFormatting sqref="AS8:AS10">
    <cfRule type="cellIs" dxfId="740" priority="129" operator="between">
      <formula>0.76</formula>
      <formula>0.95</formula>
    </cfRule>
  </conditionalFormatting>
  <conditionalFormatting sqref="AT8:AT10">
    <cfRule type="cellIs" dxfId="739" priority="128" operator="between">
      <formula>0.95</formula>
      <formula>1</formula>
    </cfRule>
  </conditionalFormatting>
  <conditionalFormatting sqref="AU8:AU10">
    <cfRule type="cellIs" dxfId="738" priority="127" operator="greaterThan">
      <formula>1</formula>
    </cfRule>
  </conditionalFormatting>
  <conditionalFormatting sqref="AQ15">
    <cfRule type="cellIs" dxfId="737" priority="116" stopIfTrue="1" operator="between">
      <formula>0</formula>
      <formula>0.5</formula>
    </cfRule>
  </conditionalFormatting>
  <conditionalFormatting sqref="AR15">
    <cfRule type="cellIs" dxfId="736" priority="115" operator="between">
      <formula>0.51</formula>
      <formula>0.75</formula>
    </cfRule>
  </conditionalFormatting>
  <conditionalFormatting sqref="AS15">
    <cfRule type="cellIs" dxfId="735" priority="114" operator="between">
      <formula>0.76</formula>
      <formula>0.95</formula>
    </cfRule>
  </conditionalFormatting>
  <conditionalFormatting sqref="AT15">
    <cfRule type="cellIs" dxfId="734" priority="113" operator="between">
      <formula>0.95</formula>
      <formula>1</formula>
    </cfRule>
  </conditionalFormatting>
  <conditionalFormatting sqref="AU15">
    <cfRule type="cellIs" dxfId="733" priority="112" operator="greaterThan">
      <formula>1</formula>
    </cfRule>
  </conditionalFormatting>
  <conditionalFormatting sqref="AQ14">
    <cfRule type="cellIs" dxfId="732" priority="121" stopIfTrue="1" operator="between">
      <formula>0</formula>
      <formula>0.5</formula>
    </cfRule>
  </conditionalFormatting>
  <conditionalFormatting sqref="AR14">
    <cfRule type="cellIs" dxfId="731" priority="120" operator="between">
      <formula>0.51</formula>
      <formula>0.75</formula>
    </cfRule>
  </conditionalFormatting>
  <conditionalFormatting sqref="AS14">
    <cfRule type="cellIs" dxfId="730" priority="119" operator="between">
      <formula>0.76</formula>
      <formula>0.95</formula>
    </cfRule>
  </conditionalFormatting>
  <conditionalFormatting sqref="AT14">
    <cfRule type="cellIs" dxfId="729" priority="118" operator="between">
      <formula>0.95</formula>
      <formula>1</formula>
    </cfRule>
  </conditionalFormatting>
  <conditionalFormatting sqref="AU14">
    <cfRule type="cellIs" dxfId="728" priority="117" operator="greaterThan">
      <formula>1</formula>
    </cfRule>
  </conditionalFormatting>
  <conditionalFormatting sqref="AX6">
    <cfRule type="cellIs" dxfId="727" priority="111" operator="between">
      <formula>0.501</formula>
      <formula>0.75</formula>
    </cfRule>
  </conditionalFormatting>
  <conditionalFormatting sqref="AY6">
    <cfRule type="cellIs" dxfId="726" priority="110" operator="between">
      <formula>0.76</formula>
      <formula>0.95</formula>
    </cfRule>
  </conditionalFormatting>
  <conditionalFormatting sqref="AZ6">
    <cfRule type="cellIs" dxfId="725" priority="109" operator="between">
      <formula>0.95</formula>
      <formula>1</formula>
    </cfRule>
  </conditionalFormatting>
  <conditionalFormatting sqref="BA6">
    <cfRule type="cellIs" dxfId="724" priority="108" operator="greaterThan">
      <formula>1</formula>
    </cfRule>
  </conditionalFormatting>
  <conditionalFormatting sqref="AW7">
    <cfRule type="cellIs" dxfId="723" priority="107" stopIfTrue="1" operator="between">
      <formula>0</formula>
      <formula>0.5</formula>
    </cfRule>
  </conditionalFormatting>
  <conditionalFormatting sqref="AX7">
    <cfRule type="cellIs" dxfId="722" priority="106" operator="between">
      <formula>0.51</formula>
      <formula>0.75</formula>
    </cfRule>
  </conditionalFormatting>
  <conditionalFormatting sqref="AY7">
    <cfRule type="cellIs" dxfId="721" priority="105" operator="between">
      <formula>0.76</formula>
      <formula>0.95</formula>
    </cfRule>
  </conditionalFormatting>
  <conditionalFormatting sqref="AZ7">
    <cfRule type="cellIs" dxfId="720" priority="104" operator="between">
      <formula>0.95</formula>
      <formula>1</formula>
    </cfRule>
  </conditionalFormatting>
  <conditionalFormatting sqref="BA7">
    <cfRule type="cellIs" dxfId="719" priority="103" operator="greaterThan">
      <formula>1</formula>
    </cfRule>
  </conditionalFormatting>
  <conditionalFormatting sqref="AW8:AW10">
    <cfRule type="cellIs" dxfId="718" priority="102" stopIfTrue="1" operator="between">
      <formula>0</formula>
      <formula>0.5</formula>
    </cfRule>
  </conditionalFormatting>
  <conditionalFormatting sqref="AX8:AX10">
    <cfRule type="cellIs" dxfId="717" priority="101" operator="between">
      <formula>0.51</formula>
      <formula>0.75</formula>
    </cfRule>
  </conditionalFormatting>
  <conditionalFormatting sqref="AY8:AY10">
    <cfRule type="cellIs" dxfId="716" priority="100" operator="between">
      <formula>0.76</formula>
      <formula>0.95</formula>
    </cfRule>
  </conditionalFormatting>
  <conditionalFormatting sqref="AZ8:AZ10">
    <cfRule type="cellIs" dxfId="715" priority="99" operator="between">
      <formula>0.95</formula>
      <formula>1</formula>
    </cfRule>
  </conditionalFormatting>
  <conditionalFormatting sqref="BA8:BA10">
    <cfRule type="cellIs" dxfId="714" priority="98" operator="greaterThan">
      <formula>1</formula>
    </cfRule>
  </conditionalFormatting>
  <conditionalFormatting sqref="AW14">
    <cfRule type="cellIs" dxfId="713" priority="92" stopIfTrue="1" operator="between">
      <formula>0</formula>
      <formula>0.5</formula>
    </cfRule>
  </conditionalFormatting>
  <conditionalFormatting sqref="AX14">
    <cfRule type="cellIs" dxfId="712" priority="91" operator="between">
      <formula>0.51</formula>
      <formula>0.75</formula>
    </cfRule>
  </conditionalFormatting>
  <conditionalFormatting sqref="AY14">
    <cfRule type="cellIs" dxfId="711" priority="90" operator="between">
      <formula>0.76</formula>
      <formula>0.95</formula>
    </cfRule>
  </conditionalFormatting>
  <conditionalFormatting sqref="AZ14">
    <cfRule type="cellIs" dxfId="710" priority="89" operator="between">
      <formula>0.95</formula>
      <formula>1</formula>
    </cfRule>
  </conditionalFormatting>
  <conditionalFormatting sqref="BA14">
    <cfRule type="cellIs" dxfId="709" priority="88" operator="greaterThan">
      <formula>1</formula>
    </cfRule>
  </conditionalFormatting>
  <conditionalFormatting sqref="AW15">
    <cfRule type="cellIs" dxfId="708" priority="87" stopIfTrue="1" operator="between">
      <formula>0</formula>
      <formula>0.5</formula>
    </cfRule>
  </conditionalFormatting>
  <conditionalFormatting sqref="AX15">
    <cfRule type="cellIs" dxfId="707" priority="86" operator="between">
      <formula>0.51</formula>
      <formula>0.75</formula>
    </cfRule>
  </conditionalFormatting>
  <conditionalFormatting sqref="AY15">
    <cfRule type="cellIs" dxfId="706" priority="85" operator="between">
      <formula>0.76</formula>
      <formula>0.95</formula>
    </cfRule>
  </conditionalFormatting>
  <conditionalFormatting sqref="AZ15">
    <cfRule type="cellIs" dxfId="705" priority="84" operator="between">
      <formula>0.95</formula>
      <formula>1</formula>
    </cfRule>
  </conditionalFormatting>
  <conditionalFormatting sqref="BA15">
    <cfRule type="cellIs" dxfId="704" priority="83" operator="greaterThan">
      <formula>1</formula>
    </cfRule>
  </conditionalFormatting>
  <conditionalFormatting sqref="AW6">
    <cfRule type="cellIs" dxfId="703" priority="82" stopIfTrue="1" operator="between">
      <formula>0</formula>
      <formula>0.5</formula>
    </cfRule>
  </conditionalFormatting>
  <conditionalFormatting sqref="Q11:Q12">
    <cfRule type="cellIs" dxfId="702" priority="71" stopIfTrue="1" operator="between">
      <formula>0</formula>
      <formula>0.5</formula>
    </cfRule>
  </conditionalFormatting>
  <conditionalFormatting sqref="R11:R12">
    <cfRule type="cellIs" dxfId="701" priority="70" operator="between">
      <formula>0.51</formula>
      <formula>0.75</formula>
    </cfRule>
  </conditionalFormatting>
  <conditionalFormatting sqref="S11:S12">
    <cfRule type="cellIs" dxfId="700" priority="69" operator="between">
      <formula>0.76</formula>
      <formula>0.95</formula>
    </cfRule>
  </conditionalFormatting>
  <conditionalFormatting sqref="T11:T12">
    <cfRule type="cellIs" dxfId="699" priority="68" operator="between">
      <formula>0.95</formula>
      <formula>1</formula>
    </cfRule>
  </conditionalFormatting>
  <conditionalFormatting sqref="U11:U12">
    <cfRule type="cellIs" dxfId="698" priority="67" operator="greaterThan">
      <formula>1</formula>
    </cfRule>
  </conditionalFormatting>
  <conditionalFormatting sqref="W11:W12">
    <cfRule type="cellIs" dxfId="697" priority="66" stopIfTrue="1" operator="between">
      <formula>0</formula>
      <formula>0.255</formula>
    </cfRule>
  </conditionalFormatting>
  <conditionalFormatting sqref="X11:X12">
    <cfRule type="cellIs" dxfId="696" priority="65" operator="between">
      <formula>0.2551</formula>
      <formula>0.375</formula>
    </cfRule>
  </conditionalFormatting>
  <conditionalFormatting sqref="Y11:Y12">
    <cfRule type="cellIs" dxfId="695" priority="64" operator="between">
      <formula>0.38</formula>
      <formula>0.475</formula>
    </cfRule>
  </conditionalFormatting>
  <conditionalFormatting sqref="Z11:Z12">
    <cfRule type="cellIs" dxfId="694" priority="63" operator="between">
      <formula>0.48</formula>
      <formula>0.51</formula>
    </cfRule>
  </conditionalFormatting>
  <conditionalFormatting sqref="AA11:AA12">
    <cfRule type="cellIs" dxfId="693" priority="62" operator="greaterThan">
      <formula>0.505</formula>
    </cfRule>
  </conditionalFormatting>
  <conditionalFormatting sqref="AD11:AD12">
    <cfRule type="cellIs" dxfId="692" priority="61" stopIfTrue="1" operator="between">
      <formula>0</formula>
      <formula>0.5</formula>
    </cfRule>
  </conditionalFormatting>
  <conditionalFormatting sqref="AE11:AE12">
    <cfRule type="cellIs" dxfId="691" priority="60" operator="between">
      <formula>0.51</formula>
      <formula>0.75</formula>
    </cfRule>
  </conditionalFormatting>
  <conditionalFormatting sqref="AF11:AF12">
    <cfRule type="cellIs" dxfId="690" priority="59" operator="between">
      <formula>0.76</formula>
      <formula>0.95</formula>
    </cfRule>
  </conditionalFormatting>
  <conditionalFormatting sqref="AG11:AG12">
    <cfRule type="cellIs" dxfId="689" priority="58" operator="between">
      <formula>0.95</formula>
      <formula>1</formula>
    </cfRule>
  </conditionalFormatting>
  <conditionalFormatting sqref="AH11:AH12">
    <cfRule type="cellIs" dxfId="688" priority="57" operator="greaterThan">
      <formula>1</formula>
    </cfRule>
  </conditionalFormatting>
  <conditionalFormatting sqref="AJ11:AJ12">
    <cfRule type="cellIs" dxfId="687" priority="56" stopIfTrue="1" operator="between">
      <formula>0</formula>
      <formula>0.375</formula>
    </cfRule>
  </conditionalFormatting>
  <conditionalFormatting sqref="AK11:AK12">
    <cfRule type="cellIs" dxfId="686" priority="55" operator="between">
      <formula>0.3751</formula>
      <formula>0.5625</formula>
    </cfRule>
  </conditionalFormatting>
  <conditionalFormatting sqref="AL11:AL12">
    <cfRule type="cellIs" dxfId="685" priority="54" operator="between">
      <formula>0.563</formula>
      <formula>0.7125</formula>
    </cfRule>
  </conditionalFormatting>
  <conditionalFormatting sqref="AM11:AM12">
    <cfRule type="cellIs" dxfId="684" priority="53" operator="between">
      <formula>0.713</formula>
      <formula>0.75</formula>
    </cfRule>
  </conditionalFormatting>
  <conditionalFormatting sqref="AN11:AN12">
    <cfRule type="cellIs" dxfId="683" priority="52" operator="greaterThan">
      <formula>0.755</formula>
    </cfRule>
  </conditionalFormatting>
  <conditionalFormatting sqref="AQ11:AQ13">
    <cfRule type="cellIs" dxfId="682" priority="51" stopIfTrue="1" operator="between">
      <formula>0</formula>
      <formula>0.5</formula>
    </cfRule>
  </conditionalFormatting>
  <conditionalFormatting sqref="AR11:AR13">
    <cfRule type="cellIs" dxfId="681" priority="50" operator="between">
      <formula>0.51</formula>
      <formula>0.75</formula>
    </cfRule>
  </conditionalFormatting>
  <conditionalFormatting sqref="AS11:AS13">
    <cfRule type="cellIs" dxfId="680" priority="49" operator="between">
      <formula>0.76</formula>
      <formula>0.95</formula>
    </cfRule>
  </conditionalFormatting>
  <conditionalFormatting sqref="AT11:AT13">
    <cfRule type="cellIs" dxfId="679" priority="48" operator="between">
      <formula>0.95</formula>
      <formula>1</formula>
    </cfRule>
  </conditionalFormatting>
  <conditionalFormatting sqref="AU11:AU13">
    <cfRule type="cellIs" dxfId="678" priority="47" operator="greaterThan">
      <formula>1</formula>
    </cfRule>
  </conditionalFormatting>
  <conditionalFormatting sqref="AW11:AW13">
    <cfRule type="cellIs" dxfId="677" priority="46" stopIfTrue="1" operator="between">
      <formula>0</formula>
      <formula>0.5</formula>
    </cfRule>
  </conditionalFormatting>
  <conditionalFormatting sqref="AX11:AX13">
    <cfRule type="cellIs" dxfId="676" priority="45" operator="between">
      <formula>0.51</formula>
      <formula>0.75</formula>
    </cfRule>
  </conditionalFormatting>
  <conditionalFormatting sqref="AY11:AY13">
    <cfRule type="cellIs" dxfId="675" priority="44" operator="between">
      <formula>0.76</formula>
      <formula>0.95</formula>
    </cfRule>
  </conditionalFormatting>
  <conditionalFormatting sqref="AZ11:AZ13">
    <cfRule type="cellIs" dxfId="674" priority="43" operator="between">
      <formula>0.95</formula>
      <formula>1</formula>
    </cfRule>
  </conditionalFormatting>
  <conditionalFormatting sqref="BA11:BA13">
    <cfRule type="cellIs" dxfId="673" priority="42" operator="greaterThan">
      <formula>1</formula>
    </cfRule>
  </conditionalFormatting>
  <conditionalFormatting sqref="D6">
    <cfRule type="cellIs" dxfId="672" priority="41" stopIfTrue="1" operator="between">
      <formula>0</formula>
      <formula>0.5</formula>
    </cfRule>
  </conditionalFormatting>
  <conditionalFormatting sqref="E6">
    <cfRule type="cellIs" dxfId="671" priority="40" operator="between">
      <formula>0.51</formula>
      <formula>0.7501</formula>
    </cfRule>
  </conditionalFormatting>
  <conditionalFormatting sqref="F6">
    <cfRule type="cellIs" dxfId="670" priority="39" operator="between">
      <formula>0.76</formula>
      <formula>0.95</formula>
    </cfRule>
  </conditionalFormatting>
  <conditionalFormatting sqref="G6">
    <cfRule type="cellIs" dxfId="669" priority="38" operator="between">
      <formula>0.96</formula>
      <formula>1</formula>
    </cfRule>
  </conditionalFormatting>
  <conditionalFormatting sqref="H6">
    <cfRule type="cellIs" dxfId="668" priority="37" operator="greaterThan">
      <formula>1</formula>
    </cfRule>
  </conditionalFormatting>
  <conditionalFormatting sqref="D7">
    <cfRule type="cellIs" dxfId="667" priority="36" stopIfTrue="1" operator="between">
      <formula>0</formula>
      <formula>0.5</formula>
    </cfRule>
  </conditionalFormatting>
  <conditionalFormatting sqref="E7">
    <cfRule type="cellIs" dxfId="666" priority="35" operator="between">
      <formula>0.51</formula>
      <formula>0.75</formula>
    </cfRule>
  </conditionalFormatting>
  <conditionalFormatting sqref="F7">
    <cfRule type="cellIs" dxfId="665" priority="34" operator="between">
      <formula>0.76</formula>
      <formula>0.95</formula>
    </cfRule>
  </conditionalFormatting>
  <conditionalFormatting sqref="G7">
    <cfRule type="cellIs" dxfId="664" priority="33" operator="between">
      <formula>0.96</formula>
      <formula>1</formula>
    </cfRule>
  </conditionalFormatting>
  <conditionalFormatting sqref="H7">
    <cfRule type="cellIs" dxfId="663" priority="32" operator="greaterThan">
      <formula>1</formula>
    </cfRule>
  </conditionalFormatting>
  <conditionalFormatting sqref="D8">
    <cfRule type="cellIs" dxfId="662" priority="31" stopIfTrue="1" operator="between">
      <formula>0</formula>
      <formula>0.5</formula>
    </cfRule>
  </conditionalFormatting>
  <conditionalFormatting sqref="E8">
    <cfRule type="cellIs" dxfId="661" priority="30" operator="between">
      <formula>0.51</formula>
      <formula>0.75</formula>
    </cfRule>
  </conditionalFormatting>
  <conditionalFormatting sqref="F8">
    <cfRule type="cellIs" dxfId="660" priority="29" operator="between">
      <formula>0.76</formula>
      <formula>0.95</formula>
    </cfRule>
  </conditionalFormatting>
  <conditionalFormatting sqref="G8">
    <cfRule type="cellIs" dxfId="659" priority="28" operator="between">
      <formula>0.96</formula>
      <formula>1</formula>
    </cfRule>
  </conditionalFormatting>
  <conditionalFormatting sqref="H8">
    <cfRule type="cellIs" dxfId="658" priority="27" operator="greaterThan">
      <formula>1</formula>
    </cfRule>
  </conditionalFormatting>
  <conditionalFormatting sqref="D9:D14">
    <cfRule type="cellIs" dxfId="657" priority="26" stopIfTrue="1" operator="between">
      <formula>0</formula>
      <formula>0.5</formula>
    </cfRule>
  </conditionalFormatting>
  <conditionalFormatting sqref="E9:E14">
    <cfRule type="cellIs" dxfId="656" priority="25" operator="between">
      <formula>0.51</formula>
      <formula>0.75</formula>
    </cfRule>
  </conditionalFormatting>
  <conditionalFormatting sqref="F9:F14">
    <cfRule type="cellIs" dxfId="655" priority="24" operator="between">
      <formula>0.76</formula>
      <formula>0.95</formula>
    </cfRule>
  </conditionalFormatting>
  <conditionalFormatting sqref="G9:G14">
    <cfRule type="cellIs" dxfId="654" priority="23" operator="between">
      <formula>0.96</formula>
      <formula>1</formula>
    </cfRule>
  </conditionalFormatting>
  <conditionalFormatting sqref="H9:H14">
    <cfRule type="cellIs" dxfId="653" priority="22" operator="greaterThan">
      <formula>1</formula>
    </cfRule>
  </conditionalFormatting>
  <conditionalFormatting sqref="D15">
    <cfRule type="cellIs" dxfId="652" priority="21" stopIfTrue="1" operator="between">
      <formula>0</formula>
      <formula>0.5</formula>
    </cfRule>
  </conditionalFormatting>
  <conditionalFormatting sqref="E15">
    <cfRule type="cellIs" dxfId="651" priority="20" operator="between">
      <formula>0.51</formula>
      <formula>0.75</formula>
    </cfRule>
  </conditionalFormatting>
  <conditionalFormatting sqref="F15">
    <cfRule type="cellIs" dxfId="650" priority="19" operator="between">
      <formula>0.76</formula>
      <formula>0.95</formula>
    </cfRule>
  </conditionalFormatting>
  <conditionalFormatting sqref="G15">
    <cfRule type="cellIs" dxfId="649" priority="18" operator="between">
      <formula>0.96</formula>
      <formula>1</formula>
    </cfRule>
  </conditionalFormatting>
  <conditionalFormatting sqref="H15">
    <cfRule type="cellIs" dxfId="648" priority="17" operator="greaterThan">
      <formula>1</formula>
    </cfRule>
  </conditionalFormatting>
  <conditionalFormatting sqref="J6">
    <cfRule type="cellIs" dxfId="647" priority="16" stopIfTrue="1" operator="between">
      <formula>0</formula>
      <formula>0.125</formula>
    </cfRule>
  </conditionalFormatting>
  <conditionalFormatting sqref="K6">
    <cfRule type="cellIs" dxfId="646" priority="15" operator="between">
      <formula>0.1251</formula>
      <formula>0.18755</formula>
    </cfRule>
  </conditionalFormatting>
  <conditionalFormatting sqref="L6">
    <cfRule type="cellIs" dxfId="645" priority="14" operator="between">
      <formula>0.187501</formula>
      <formula>0.2375</formula>
    </cfRule>
  </conditionalFormatting>
  <conditionalFormatting sqref="M6">
    <cfRule type="cellIs" dxfId="644" priority="13" operator="between">
      <formula>0.2376</formula>
      <formula>0.25</formula>
    </cfRule>
  </conditionalFormatting>
  <conditionalFormatting sqref="N6">
    <cfRule type="cellIs" dxfId="643" priority="12" operator="greaterThan">
      <formula>0.25</formula>
    </cfRule>
  </conditionalFormatting>
  <conditionalFormatting sqref="J7">
    <cfRule type="cellIs" dxfId="642" priority="11" stopIfTrue="1" operator="between">
      <formula>0</formula>
      <formula>0.125</formula>
    </cfRule>
  </conditionalFormatting>
  <conditionalFormatting sqref="K7">
    <cfRule type="cellIs" dxfId="641" priority="10" operator="between">
      <formula>0.1251</formula>
      <formula>0.1875</formula>
    </cfRule>
  </conditionalFormatting>
  <conditionalFormatting sqref="L7">
    <cfRule type="cellIs" dxfId="640" priority="9" operator="between">
      <formula>0.1876</formula>
      <formula>0.2375</formula>
    </cfRule>
  </conditionalFormatting>
  <conditionalFormatting sqref="M7">
    <cfRule type="cellIs" dxfId="639" priority="8" operator="between">
      <formula>0.2376</formula>
      <formula>0.25</formula>
    </cfRule>
  </conditionalFormatting>
  <conditionalFormatting sqref="N7">
    <cfRule type="cellIs" dxfId="638" priority="7" operator="greaterThan">
      <formula>0.25</formula>
    </cfRule>
  </conditionalFormatting>
  <conditionalFormatting sqref="J8:J15">
    <cfRule type="cellIs" dxfId="637" priority="6" stopIfTrue="1" operator="between">
      <formula>0</formula>
      <formula>0.125</formula>
    </cfRule>
  </conditionalFormatting>
  <conditionalFormatting sqref="K8:K15">
    <cfRule type="cellIs" dxfId="636" priority="5" operator="between">
      <formula>0.1251</formula>
      <formula>0.1875</formula>
    </cfRule>
  </conditionalFormatting>
  <conditionalFormatting sqref="L8:L15">
    <cfRule type="cellIs" dxfId="635" priority="4" operator="between">
      <formula>0.1876</formula>
      <formula>0.2375</formula>
    </cfRule>
  </conditionalFormatting>
  <conditionalFormatting sqref="M8:M15">
    <cfRule type="cellIs" dxfId="634" priority="3" operator="between">
      <formula>0.2376</formula>
      <formula>0.25</formula>
    </cfRule>
  </conditionalFormatting>
  <conditionalFormatting sqref="N8:N15">
    <cfRule type="cellIs" dxfId="633" priority="2" operator="greaterThan">
      <formula>0.25</formula>
    </cfRule>
  </conditionalFormatting>
  <conditionalFormatting sqref="T10">
    <cfRule type="cellIs" dxfId="632" priority="1" operator="between">
      <formula>0.95</formula>
      <formula>1</formula>
    </cfRule>
  </conditionalFormatting>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ed06369a5abc8f923fbfe0949b886f5f">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dd25bb878dc6a3d43241b9691a35940c"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33213BD9-A9C2-4B48-A055-34AAD8FFF056}"/>
</file>

<file path=customXml/itemProps2.xml><?xml version="1.0" encoding="utf-8"?>
<ds:datastoreItem xmlns:ds="http://schemas.openxmlformats.org/officeDocument/2006/customXml" ds:itemID="{AD630818-946F-4350-82D8-A605367D5C80}"/>
</file>

<file path=customXml/itemProps3.xml><?xml version="1.0" encoding="utf-8"?>
<ds:datastoreItem xmlns:ds="http://schemas.openxmlformats.org/officeDocument/2006/customXml" ds:itemID="{8CE06B31-2471-4E27-9674-DDD4B9457C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2020-01-31T23:35:51Z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